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pper-fs\SCL Arquivos\LICITAÇÕES\EDITAIS DE PREGÃO ELETRÔNICO\Editais de Pregão Eletrônico 2025\Reconstrução Trecho Coletor de Esgoto da Serrinha-Cidade Aracy - Proc 2505-25 - PE 000-25 Ampla\Anexos para o Edital\"/>
    </mc:Choice>
  </mc:AlternateContent>
  <bookViews>
    <workbookView xWindow="0" yWindow="0" windowWidth="28800" windowHeight="12030"/>
  </bookViews>
  <sheets>
    <sheet name="Orçamento Sintético" sheetId="1" r:id="rId1"/>
    <sheet name="cronograma" sheetId="2" r:id="rId2"/>
    <sheet name="BDI" sheetId="3" r:id="rId3"/>
  </sheets>
  <definedNames>
    <definedName name="_xlnm.Print_Area" localSheetId="1">cronograma!$A$1:$I$42</definedName>
    <definedName name="_xlnm.Print_Area" localSheetId="0">'Orçamento Sintético'!$A$1:$L$92</definedName>
    <definedName name="PLANILHA">'Orçamento Sintético'!$A$5:$L$78</definedName>
    <definedName name="_xlnm.Print_Titles" localSheetId="0">'Orçamento Sintético'!$1:$4</definedName>
  </definedNames>
  <calcPr calcId="152511"/>
</workbook>
</file>

<file path=xl/calcChain.xml><?xml version="1.0" encoding="utf-8"?>
<calcChain xmlns="http://schemas.openxmlformats.org/spreadsheetml/2006/main">
  <c r="H25" i="1" l="1"/>
  <c r="K26" i="2" l="1"/>
  <c r="F25" i="2"/>
  <c r="E25" i="2"/>
  <c r="D25" i="2"/>
  <c r="C25" i="2"/>
  <c r="B25" i="2"/>
  <c r="D73" i="1" l="1"/>
  <c r="D75" i="1"/>
  <c r="D74" i="1"/>
  <c r="H75" i="1"/>
  <c r="K75" i="1" s="1"/>
  <c r="J75" i="1" s="1"/>
  <c r="H74" i="1"/>
  <c r="K74" i="1" s="1"/>
  <c r="J74" i="1" s="1"/>
  <c r="J73" i="1" l="1"/>
  <c r="I74" i="1"/>
  <c r="I75" i="1"/>
  <c r="K73" i="1"/>
  <c r="H25" i="2" s="1"/>
  <c r="G25" i="2" s="1"/>
  <c r="I73" i="1" l="1"/>
  <c r="A3" i="2"/>
  <c r="A35" i="2"/>
  <c r="J57" i="1"/>
  <c r="I57" i="1"/>
  <c r="J32" i="1"/>
  <c r="I32" i="1" s="1"/>
  <c r="J23" i="1"/>
  <c r="I23" i="1"/>
  <c r="H66" i="1" l="1"/>
  <c r="K66" i="1" s="1"/>
  <c r="H67" i="1"/>
  <c r="H58" i="1"/>
  <c r="H56" i="1"/>
  <c r="K56" i="1" s="1"/>
  <c r="J56" i="1" s="1"/>
  <c r="I56" i="1" s="1"/>
  <c r="H55" i="1"/>
  <c r="H54" i="1"/>
  <c r="D54" i="1"/>
  <c r="F52" i="1"/>
  <c r="H53" i="1"/>
  <c r="K53" i="1" s="1"/>
  <c r="H37" i="1"/>
  <c r="K37" i="1" s="1"/>
  <c r="J37" i="1" s="1"/>
  <c r="I37" i="1" s="1"/>
  <c r="H24" i="1"/>
  <c r="F24" i="1"/>
  <c r="D21" i="1"/>
  <c r="D7" i="1"/>
  <c r="J66" i="1" l="1"/>
  <c r="I66" i="1"/>
  <c r="J53" i="1"/>
  <c r="I53" i="1" s="1"/>
  <c r="K55" i="1"/>
  <c r="K58" i="1"/>
  <c r="J58" i="1" s="1"/>
  <c r="I58" i="1" s="1"/>
  <c r="K67" i="1"/>
  <c r="K54" i="1"/>
  <c r="J54" i="1" s="1"/>
  <c r="K24" i="1"/>
  <c r="J24" i="1" s="1"/>
  <c r="I24" i="1" s="1"/>
  <c r="H11" i="1"/>
  <c r="K11" i="1" s="1"/>
  <c r="J67" i="1" l="1"/>
  <c r="I67" i="1"/>
  <c r="J55" i="1"/>
  <c r="I55" i="1" s="1"/>
  <c r="I54" i="1"/>
  <c r="J11" i="1"/>
  <c r="I11" i="1" s="1"/>
  <c r="B9" i="3"/>
  <c r="C40" i="3"/>
  <c r="E27" i="3"/>
  <c r="C41" i="3" s="1"/>
  <c r="J40" i="3" l="1"/>
  <c r="E44" i="3" s="1"/>
  <c r="B9" i="2"/>
  <c r="B11" i="2" l="1"/>
  <c r="K28" i="2"/>
  <c r="B27" i="2"/>
  <c r="K24" i="2"/>
  <c r="B23" i="2"/>
  <c r="K22" i="2"/>
  <c r="B21" i="2"/>
  <c r="K20" i="2"/>
  <c r="B19" i="2"/>
  <c r="K18" i="2"/>
  <c r="B17" i="2"/>
  <c r="K16" i="2"/>
  <c r="B15" i="2"/>
  <c r="K14" i="2"/>
  <c r="B13" i="2"/>
  <c r="K12" i="2"/>
  <c r="H78" i="1"/>
  <c r="K78" i="1" s="1"/>
  <c r="H77" i="1"/>
  <c r="K77" i="1" s="1"/>
  <c r="H70" i="1"/>
  <c r="K70" i="1" s="1"/>
  <c r="H71" i="1"/>
  <c r="K71" i="1" s="1"/>
  <c r="H72" i="1"/>
  <c r="K72" i="1" s="1"/>
  <c r="H69" i="1"/>
  <c r="K69" i="1" s="1"/>
  <c r="H65" i="1"/>
  <c r="K65" i="1" s="1"/>
  <c r="H64" i="1"/>
  <c r="K64" i="1" s="1"/>
  <c r="H59" i="1"/>
  <c r="K59" i="1" s="1"/>
  <c r="H60" i="1"/>
  <c r="K60" i="1" s="1"/>
  <c r="J60" i="1" s="1"/>
  <c r="I60" i="1" s="1"/>
  <c r="H61" i="1"/>
  <c r="K61" i="1" s="1"/>
  <c r="H62" i="1"/>
  <c r="K62" i="1" s="1"/>
  <c r="J62" i="1" s="1"/>
  <c r="I62" i="1" s="1"/>
  <c r="H52" i="1"/>
  <c r="K52" i="1" s="1"/>
  <c r="J52" i="1" s="1"/>
  <c r="I52" i="1" s="1"/>
  <c r="H49" i="1"/>
  <c r="K49" i="1" s="1"/>
  <c r="H48" i="1"/>
  <c r="K48" i="1" s="1"/>
  <c r="H46" i="1"/>
  <c r="K46" i="1" s="1"/>
  <c r="J46" i="1" s="1"/>
  <c r="H22" i="1"/>
  <c r="K22" i="1" s="1"/>
  <c r="J22" i="1" s="1"/>
  <c r="I22" i="1" s="1"/>
  <c r="H21" i="1"/>
  <c r="K21" i="1" s="1"/>
  <c r="H26" i="1"/>
  <c r="K26" i="1" s="1"/>
  <c r="H27" i="1"/>
  <c r="K27" i="1" s="1"/>
  <c r="J27" i="1" s="1"/>
  <c r="I27" i="1" s="1"/>
  <c r="H28" i="1"/>
  <c r="K28" i="1" s="1"/>
  <c r="H29" i="1"/>
  <c r="K29" i="1" s="1"/>
  <c r="J29" i="1" s="1"/>
  <c r="I29" i="1" s="1"/>
  <c r="H30" i="1"/>
  <c r="K30" i="1" s="1"/>
  <c r="H31" i="1"/>
  <c r="K31" i="1" s="1"/>
  <c r="J31" i="1" s="1"/>
  <c r="I31" i="1" s="1"/>
  <c r="H39" i="1"/>
  <c r="K39" i="1" s="1"/>
  <c r="H40" i="1"/>
  <c r="K40" i="1" s="1"/>
  <c r="H41" i="1"/>
  <c r="K41" i="1" s="1"/>
  <c r="H42" i="1"/>
  <c r="K42" i="1" s="1"/>
  <c r="H43" i="1"/>
  <c r="K43" i="1" s="1"/>
  <c r="H44" i="1"/>
  <c r="K44" i="1" s="1"/>
  <c r="H33" i="1"/>
  <c r="K33" i="1" s="1"/>
  <c r="J33" i="1" s="1"/>
  <c r="I33" i="1" s="1"/>
  <c r="H34" i="1"/>
  <c r="K34" i="1" s="1"/>
  <c r="H35" i="1"/>
  <c r="K35" i="1" s="1"/>
  <c r="J35" i="1" s="1"/>
  <c r="I35" i="1" s="1"/>
  <c r="H36" i="1"/>
  <c r="K36" i="1" s="1"/>
  <c r="H20" i="1"/>
  <c r="K20" i="1" s="1"/>
  <c r="J20" i="1" s="1"/>
  <c r="H15" i="1"/>
  <c r="K15" i="1" s="1"/>
  <c r="J15" i="1" s="1"/>
  <c r="H16" i="1"/>
  <c r="K16" i="1" s="1"/>
  <c r="H17" i="1"/>
  <c r="K17" i="1" s="1"/>
  <c r="J17" i="1" s="1"/>
  <c r="I17" i="1" s="1"/>
  <c r="H14" i="1"/>
  <c r="K14" i="1" s="1"/>
  <c r="H7" i="1"/>
  <c r="K7" i="1" s="1"/>
  <c r="J7" i="1" s="1"/>
  <c r="H8" i="1"/>
  <c r="K8" i="1" s="1"/>
  <c r="J8" i="1" s="1"/>
  <c r="I8" i="1" s="1"/>
  <c r="H9" i="1"/>
  <c r="K9" i="1" s="1"/>
  <c r="J9" i="1" s="1"/>
  <c r="I9" i="1" s="1"/>
  <c r="H10" i="1"/>
  <c r="K10" i="1" s="1"/>
  <c r="J10" i="1" s="1"/>
  <c r="I10" i="1" s="1"/>
  <c r="H12" i="1"/>
  <c r="K12" i="1" s="1"/>
  <c r="J12" i="1" s="1"/>
  <c r="I12" i="1" s="1"/>
  <c r="H6" i="1"/>
  <c r="K6" i="1" s="1"/>
  <c r="K63" i="1" l="1"/>
  <c r="H21" i="2" s="1"/>
  <c r="G21" i="2" s="1"/>
  <c r="I46" i="1"/>
  <c r="I45" i="1" s="1"/>
  <c r="J45" i="1"/>
  <c r="J78" i="1"/>
  <c r="I78" i="1" s="1"/>
  <c r="J77" i="1"/>
  <c r="I77" i="1"/>
  <c r="J72" i="1"/>
  <c r="I72" i="1" s="1"/>
  <c r="J71" i="1"/>
  <c r="I71" i="1" s="1"/>
  <c r="J70" i="1"/>
  <c r="I70" i="1"/>
  <c r="J69" i="1"/>
  <c r="I69" i="1" s="1"/>
  <c r="J64" i="1"/>
  <c r="I64" i="1" s="1"/>
  <c r="J61" i="1"/>
  <c r="I61" i="1" s="1"/>
  <c r="J49" i="1"/>
  <c r="I49" i="1" s="1"/>
  <c r="J48" i="1"/>
  <c r="I48" i="1" s="1"/>
  <c r="J44" i="1"/>
  <c r="I44" i="1" s="1"/>
  <c r="J43" i="1"/>
  <c r="I43" i="1" s="1"/>
  <c r="J42" i="1"/>
  <c r="I42" i="1" s="1"/>
  <c r="J41" i="1"/>
  <c r="I41" i="1" s="1"/>
  <c r="J40" i="1"/>
  <c r="I40" i="1" s="1"/>
  <c r="J39" i="1"/>
  <c r="I39" i="1" s="1"/>
  <c r="J36" i="1"/>
  <c r="I36" i="1" s="1"/>
  <c r="J34" i="1"/>
  <c r="I34" i="1" s="1"/>
  <c r="J30" i="1"/>
  <c r="I30" i="1" s="1"/>
  <c r="J28" i="1"/>
  <c r="I28" i="1" s="1"/>
  <c r="J26" i="1"/>
  <c r="I26" i="1" s="1"/>
  <c r="J21" i="1"/>
  <c r="I21" i="1" s="1"/>
  <c r="I20" i="1"/>
  <c r="J16" i="1"/>
  <c r="I16" i="1" s="1"/>
  <c r="J14" i="1"/>
  <c r="I14" i="1" s="1"/>
  <c r="I15" i="1"/>
  <c r="J65" i="1"/>
  <c r="J59" i="1"/>
  <c r="J50" i="1" s="1"/>
  <c r="J6" i="1"/>
  <c r="I6" i="1" s="1"/>
  <c r="I7" i="1"/>
  <c r="K50" i="1"/>
  <c r="H19" i="2" s="1"/>
  <c r="K18" i="1"/>
  <c r="H13" i="2" s="1"/>
  <c r="K5" i="1"/>
  <c r="K47" i="1"/>
  <c r="H17" i="2" s="1"/>
  <c r="K45" i="1"/>
  <c r="K68" i="1"/>
  <c r="H23" i="2" s="1"/>
  <c r="K76" i="1"/>
  <c r="H27" i="2" s="1"/>
  <c r="K13" i="1"/>
  <c r="H11" i="2" s="1"/>
  <c r="J76" i="1" l="1"/>
  <c r="F21" i="2"/>
  <c r="J63" i="1"/>
  <c r="H15" i="2"/>
  <c r="F15" i="2" s="1"/>
  <c r="F10" i="2"/>
  <c r="H9" i="2"/>
  <c r="I76" i="1"/>
  <c r="I68" i="1"/>
  <c r="F23" i="2" s="1"/>
  <c r="J68" i="1"/>
  <c r="I47" i="1"/>
  <c r="J47" i="1"/>
  <c r="F17" i="2"/>
  <c r="J18" i="1"/>
  <c r="I18" i="1"/>
  <c r="I13" i="1"/>
  <c r="J13" i="1"/>
  <c r="F11" i="2"/>
  <c r="I65" i="1"/>
  <c r="I63" i="1" s="1"/>
  <c r="I59" i="1"/>
  <c r="I50" i="1" s="1"/>
  <c r="J5" i="1"/>
  <c r="I5" i="1"/>
  <c r="F13" i="2"/>
  <c r="K81" i="1"/>
  <c r="C10" i="2"/>
  <c r="G10" i="2"/>
  <c r="D10" i="2"/>
  <c r="E10" i="2"/>
  <c r="E27" i="2"/>
  <c r="D23" i="2"/>
  <c r="E23" i="2"/>
  <c r="D17" i="2"/>
  <c r="E17" i="2"/>
  <c r="E21" i="2"/>
  <c r="D27" i="2"/>
  <c r="C27" i="2"/>
  <c r="C23" i="2"/>
  <c r="C21" i="2"/>
  <c r="C17" i="2"/>
  <c r="C15" i="2"/>
  <c r="C13" i="2"/>
  <c r="I81" i="1" l="1"/>
  <c r="I82" i="1" s="1"/>
  <c r="J81" i="1"/>
  <c r="J82" i="1" s="1"/>
  <c r="L50" i="1"/>
  <c r="L73" i="1"/>
  <c r="D15" i="2"/>
  <c r="E15" i="2"/>
  <c r="G15" i="2"/>
  <c r="F9" i="2"/>
  <c r="F27" i="2"/>
  <c r="G27" i="2"/>
  <c r="G23" i="2"/>
  <c r="G17" i="2"/>
  <c r="C11" i="2"/>
  <c r="D11" i="2"/>
  <c r="G11" i="2"/>
  <c r="E11" i="2"/>
  <c r="G13" i="2"/>
  <c r="D13" i="2"/>
  <c r="E13" i="2"/>
  <c r="E9" i="2"/>
  <c r="C9" i="2"/>
  <c r="D9" i="2"/>
  <c r="G9" i="2"/>
  <c r="K10" i="2"/>
  <c r="E19" i="2"/>
  <c r="F19" i="2"/>
  <c r="L45" i="1"/>
  <c r="L47" i="1"/>
  <c r="L5" i="1"/>
  <c r="L76" i="1"/>
  <c r="L68" i="1"/>
  <c r="G19" i="2"/>
  <c r="C19" i="2"/>
  <c r="D19" i="2"/>
  <c r="H30" i="2"/>
  <c r="I25" i="2" s="1"/>
  <c r="L13" i="1"/>
  <c r="L63" i="1"/>
  <c r="L18" i="1"/>
  <c r="G30" i="2" l="1"/>
  <c r="G31" i="2" s="1"/>
  <c r="K82" i="1"/>
  <c r="F30" i="2"/>
  <c r="F31" i="2" s="1"/>
  <c r="C30" i="2"/>
  <c r="C31" i="2" s="1"/>
  <c r="D30" i="2"/>
  <c r="D31" i="2" s="1"/>
  <c r="E30" i="2"/>
  <c r="E31" i="2" s="1"/>
  <c r="I15" i="2"/>
  <c r="I13" i="2"/>
  <c r="I27" i="2"/>
  <c r="I21" i="2"/>
  <c r="I17" i="2"/>
  <c r="I9" i="2"/>
  <c r="I23" i="2"/>
  <c r="I11" i="2"/>
  <c r="I19" i="2"/>
  <c r="C32" i="2" l="1"/>
  <c r="I30" i="2"/>
  <c r="D32" i="2" l="1"/>
  <c r="C33" i="2"/>
  <c r="D33" i="2" l="1"/>
  <c r="E32" i="2"/>
  <c r="F32" i="2" l="1"/>
  <c r="E33" i="2"/>
  <c r="G32" i="2" l="1"/>
  <c r="F33" i="2"/>
  <c r="G33" i="2" l="1"/>
  <c r="H32" i="2"/>
</calcChain>
</file>

<file path=xl/sharedStrings.xml><?xml version="1.0" encoding="utf-8"?>
<sst xmlns="http://schemas.openxmlformats.org/spreadsheetml/2006/main" count="376" uniqueCount="256">
  <si>
    <t>Bancos</t>
  </si>
  <si>
    <t>B.D.I.</t>
  </si>
  <si>
    <t>Encargos Sociais</t>
  </si>
  <si>
    <t>25,0%</t>
  </si>
  <si>
    <t>Não Desonerado: embutido nos preços unitário dos insumos de mão de obra, de acordo com as bases.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</si>
  <si>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</si>
  <si>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</si>
  <si>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</si>
  <si>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</si>
  <si>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</si>
  <si>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</si>
  <si>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</si>
  <si>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</si>
  <si>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</si>
  <si>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</si>
  <si>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SERVIÇOS PRELIMINARES</t>
  </si>
  <si>
    <t xml:space="preserve"> 1.1 </t>
  </si>
  <si>
    <t xml:space="preserve"> 00010775 </t>
  </si>
  <si>
    <t>SINAPI</t>
  </si>
  <si>
    <t>MES</t>
  </si>
  <si>
    <t>CPOS/CDHU</t>
  </si>
  <si>
    <t>m²</t>
  </si>
  <si>
    <t xml:space="preserve"> 101133 </t>
  </si>
  <si>
    <t>m³</t>
  </si>
  <si>
    <t xml:space="preserve"> 98525 </t>
  </si>
  <si>
    <t xml:space="preserve"> 100978 </t>
  </si>
  <si>
    <t xml:space="preserve"> 95875 </t>
  </si>
  <si>
    <t>M3XKM</t>
  </si>
  <si>
    <t>SERVIÇOS TÉCNICOS</t>
  </si>
  <si>
    <t xml:space="preserve"> 2.1 </t>
  </si>
  <si>
    <t>SERVIÇOS DE TOPOGRAFIA, LOCACAO, NIVELAMENTO DE EMISSARIO/REDE COLETORA COM AUXILIO DE EQUIPAMENTO TOPOGRAFICO E ADEQUAÇÕES DE PROJETO SE NECESSÁRIO.</t>
  </si>
  <si>
    <t>m</t>
  </si>
  <si>
    <t xml:space="preserve"> 012072 </t>
  </si>
  <si>
    <t>SBC</t>
  </si>
  <si>
    <t xml:space="preserve"> 020004 </t>
  </si>
  <si>
    <t xml:space="preserve"> 01.17.051 </t>
  </si>
  <si>
    <t>UN</t>
  </si>
  <si>
    <t xml:space="preserve"> 102302 </t>
  </si>
  <si>
    <t>ESCAVAÇÃO MECANIZADA DE VALA COM PROF. ATÉ 1,5 M (MÉDIA MONTANTE E JUSANTE/UMA COMPOSIÇÃO POR TRECHO), RETROESCAV. (0,26 M3), LARG. MENOR  QUE 0,8 M, EM SOLO MOLE, LOCAIS COM BAIXO NÍVEL DE NTERFERÊNCIA.  AF_02/2021</t>
  </si>
  <si>
    <t xml:space="preserve"> 101617 </t>
  </si>
  <si>
    <t>PREPARO DE FUNDO DE VALA COM LARGURA MAIOR OU IGUAL A 1,5 M E MENOR QUE 2,5 M (ACERTO DO SOLO NATURAL). AF_08/2020</t>
  </si>
  <si>
    <t xml:space="preserve"> 08.01.100 </t>
  </si>
  <si>
    <t xml:space="preserve"> 96537 </t>
  </si>
  <si>
    <t>FABRICAÇÃO, MONTAGEM E DESMONTAGEM DE FÔRMA PARA BLOCO DE COROAMENTO, EM CHAPA DE MADEIRA COMPENSADA RESINADA, E=17 MM, 2 UTILIZAÇÕES. AF_06/2017</t>
  </si>
  <si>
    <t xml:space="preserve"> 96544 </t>
  </si>
  <si>
    <t>KG</t>
  </si>
  <si>
    <t xml:space="preserve"> 104921 </t>
  </si>
  <si>
    <t xml:space="preserve"> 11.16.080 </t>
  </si>
  <si>
    <t xml:space="preserve"> 11.01.350 </t>
  </si>
  <si>
    <t xml:space="preserve"> 92263 </t>
  </si>
  <si>
    <t xml:space="preserve"> 92759 </t>
  </si>
  <si>
    <t xml:space="preserve"> 92760 </t>
  </si>
  <si>
    <t xml:space="preserve"> 92764 </t>
  </si>
  <si>
    <t xml:space="preserve"> 96538 </t>
  </si>
  <si>
    <t xml:space="preserve"> 104916 </t>
  </si>
  <si>
    <t xml:space="preserve"> 96546 </t>
  </si>
  <si>
    <t>MURO DE GABIÃO</t>
  </si>
  <si>
    <t xml:space="preserve"> 4.1 </t>
  </si>
  <si>
    <t xml:space="preserve"> 92743 </t>
  </si>
  <si>
    <t>MURO DE GABIÃO, ENCHIMENTO COM PEDRA DE MÃO TIPO RACHÃO, DE GRAVIDADE, COM GAIOLAS DE COMPRIMENTO IGUAL A 2 M, PARA MUROS COM ALTURA MENOR OU IGUAL A 4 M  FORNECIMENTO E EXECUÇÃO. AF_12/2015</t>
  </si>
  <si>
    <t>ESCAVAÇÃO DE VALA</t>
  </si>
  <si>
    <t xml:space="preserve"> 5.1 </t>
  </si>
  <si>
    <t xml:space="preserve"> 102326 </t>
  </si>
  <si>
    <t>ESCAVAÇÃO MECANIZADA DE VALA COM PROF. ATÉ 1,5 M (MÉDIA MONTANTE E JUSANTE/UMA COMPOSIÇÃO POR TRECHO), RETROESCAV. (0,26 M3), LARGURA MENOR  QUE 0,8 M, EM SOLO DE 2A CATEGORIA, EM LOCAIS COM BAIXO NÍVEL DE NTERFERÊNCIA. AF_02/2021</t>
  </si>
  <si>
    <t xml:space="preserve"> 5.2 </t>
  </si>
  <si>
    <t>PREPARO DE FUNDO DE VALA COM LARGURA MENOR QUE 1,5 M (ACERTO DO SOLO NATURAL). AF_08/2020</t>
  </si>
  <si>
    <t>FORNECIMENTO E ASSENTAMENTO DE TUBOS</t>
  </si>
  <si>
    <t xml:space="preserve"> 97162 </t>
  </si>
  <si>
    <t>M</t>
  </si>
  <si>
    <t xml:space="preserve"> 00041932 </t>
  </si>
  <si>
    <t>TUBO COLETOR DE ESGOTO PVC, JEI, DN 300 MM (NBR 7362)</t>
  </si>
  <si>
    <t xml:space="preserve"> 90737 </t>
  </si>
  <si>
    <t>ASSENTAMENTO DE TUBO DE PVC PARA REDE COLETORA DE ESGOTO DE PAREDE MACIÇA, DN 300 MM, JUNTA ELÁSTICA  (NÃO INCLUI FORNECIMENTO). AF_01/2021</t>
  </si>
  <si>
    <t>TUBO C/PONTA E BOLSA JGS K7 FERRO FUNDIDO DN=300 MM * (51,00 KG/M) PINTURA EPÓXI VERMELHA, ANEL DE BORRACHA INCLUSO NBR 15420 ESGOTO</t>
  </si>
  <si>
    <t>POÇO DE VISITA</t>
  </si>
  <si>
    <t xml:space="preserve"> 7.1 </t>
  </si>
  <si>
    <t xml:space="preserve"> 98405 </t>
  </si>
  <si>
    <t>BASE PARA POÇO DE VISITA CIRCULAR PARA  ESGOTO, EM ALVENARIA COM TIJOLOS CERÂMICOS MACIÇOS, DIÂMETRO INTERNO = 1,0 M, PROFUNDIDADE = 1,40 M, EXCLUINDO TAMPÃO. AF_12/2020_PA</t>
  </si>
  <si>
    <t xml:space="preserve"> 7.2 </t>
  </si>
  <si>
    <t xml:space="preserve"> 97983 </t>
  </si>
  <si>
    <t>ACRÉSCIMO PARA POÇO DE VISITA CIRCULAR PARA ESGOTO, EM CONCRETO PRÉ-MOLDADO, DIÂMETRO INTERNO = 1 M. AF_12/2020</t>
  </si>
  <si>
    <t>REATERRO DE VALA E ATERRO DE TALUDE</t>
  </si>
  <si>
    <t xml:space="preserve"> 8.1 </t>
  </si>
  <si>
    <t xml:space="preserve"> 96385 </t>
  </si>
  <si>
    <t>EXECUÇÃO E COMPACTAÇÃO DE ATERRO COM SOLO PREDOMINANTEMENTE ARGILOSO - EXCLUSIVE SOLO, ESCAVAÇÃO, CARGA E TRANSPORTE. AF_11/2019</t>
  </si>
  <si>
    <t>TRANSPORTE COM CAMINHÃO BASCULANTE DE 10 M³, EM VIA URBANA PAVIMENTADA, DMT ATÉ 30 KM (UNIDADE: M3XKM). AF_07/2020</t>
  </si>
  <si>
    <t xml:space="preserve"> 100974 </t>
  </si>
  <si>
    <t>CARGA, MANOBRA E DESCARGA DE SOLOS E MATERIAIS GRANULARES EM CAMINHÃO BASCULANTE 10 M³ - CARGA COM PÁ CARREGADEIRA (CAÇAMBA DE 1,7 A 2,8 M³ / 128 HP) E DESCARGA LIVRE (UNIDADE: M3). AF_07/2020</t>
  </si>
  <si>
    <t xml:space="preserve"> 93378 </t>
  </si>
  <si>
    <t>REATERRO MECANIZADO DE VALA COM RETROESCAVADEIRA (CAPACIDADE   DA   CAÇAMBA   DA RETRO: 0,26 M³/POTÊNCIA: 88 HP), LARGURA ATÉ 0,8 M, PROFUNDIDADE ATÉ 1,5 M, COM SOLO (SEM SUBSTITUIÇÃO) DE 1ª CATEGORIA, COM COMPACTADOR DE SOLOS DE PERCUSSÃO. AF_08/2023</t>
  </si>
  <si>
    <t>SERVIÇOS FINAIS</t>
  </si>
  <si>
    <t xml:space="preserve"> 9.1 </t>
  </si>
  <si>
    <t xml:space="preserve"> 98504 </t>
  </si>
  <si>
    <t>PLANTIO DE GRAMA BATATAIS EM PLACAS. AF_05/2018</t>
  </si>
  <si>
    <t xml:space="preserve"> 98519 </t>
  </si>
  <si>
    <t>REVOLVIMENTO E LIMPEZA MANUAL DE SOLO. AF_05/2018</t>
  </si>
  <si>
    <t>DATA BASE:</t>
  </si>
  <si>
    <t>REVISÃO:</t>
  </si>
  <si>
    <t>01</t>
  </si>
  <si>
    <t>Meses</t>
  </si>
  <si>
    <t>Total 
(C/ BDI)</t>
  </si>
  <si>
    <t>%</t>
  </si>
  <si>
    <t>Mês 01</t>
  </si>
  <si>
    <t>Mês 02</t>
  </si>
  <si>
    <t>Mês 03</t>
  </si>
  <si>
    <t>S U B T O T A L (com BDI)</t>
  </si>
  <si>
    <t>T O T A L   A C U M U L A D O (com BDI)</t>
  </si>
  <si>
    <t xml:space="preserve">CÁLCULO DO BDI  - Obras e Serviços  </t>
  </si>
  <si>
    <t>VALORES ADOTADOS:</t>
  </si>
  <si>
    <t>Min</t>
  </si>
  <si>
    <t>Médio</t>
  </si>
  <si>
    <t>Máx.</t>
  </si>
  <si>
    <t>AC</t>
  </si>
  <si>
    <t>ADMINISTRAÇÃO CENTRAL</t>
  </si>
  <si>
    <t>DF</t>
  </si>
  <si>
    <t>DESPESAS FINANCEIRAS</t>
  </si>
  <si>
    <t>S + G</t>
  </si>
  <si>
    <t>SEGUROS E GARANTIAS</t>
  </si>
  <si>
    <t>R</t>
  </si>
  <si>
    <t>RISCO</t>
  </si>
  <si>
    <t>ISS (PMNF)</t>
  </si>
  <si>
    <t>I</t>
  </si>
  <si>
    <t>PIS</t>
  </si>
  <si>
    <t>COFINS</t>
  </si>
  <si>
    <t>Desoneração</t>
  </si>
  <si>
    <t xml:space="preserve">TOTAL "C" = </t>
  </si>
  <si>
    <t>L</t>
  </si>
  <si>
    <t>LUCRO</t>
  </si>
  <si>
    <t>FÓRMULA DE CÁLCULO:</t>
  </si>
  <si>
    <t xml:space="preserve">BDI = </t>
  </si>
  <si>
    <t>(1 + AC + S + R + G) x (1 + DF) x (1 + L)</t>
  </si>
  <si>
    <t xml:space="preserve"> -</t>
  </si>
  <si>
    <t>x</t>
  </si>
  <si>
    <t>( 1 - I)</t>
  </si>
  <si>
    <t>CÁLCULO:</t>
  </si>
  <si>
    <t>BDI =</t>
  </si>
  <si>
    <t xml:space="preserve"> =</t>
  </si>
  <si>
    <t>O VALOR DO BDI ADOTADO É DE :</t>
  </si>
  <si>
    <r>
      <t xml:space="preserve">Os cálculos estão em conformidade ao </t>
    </r>
    <r>
      <rPr>
        <b/>
        <sz val="10"/>
        <color indexed="8"/>
        <rFont val="Calibri"/>
        <family val="2"/>
      </rPr>
      <t>" ACORDÃO Nº 2622/2013 - TCU - PLENÁRIO "</t>
    </r>
  </si>
  <si>
    <t>HM04092</t>
  </si>
  <si>
    <t>SABESP</t>
  </si>
  <si>
    <t>TELA PLASTICA TECIDA LISTRADA BRANCA E LARANJA, TIPO GUARDA CORPO, EM POLIETILENO MONOFILADO, ROLO 1,20 X 50 M (L X C)</t>
  </si>
  <si>
    <t>Mês 04</t>
  </si>
  <si>
    <t xml:space="preserve"> 9.2</t>
  </si>
  <si>
    <t xml:space="preserve"> 8.2</t>
  </si>
  <si>
    <t xml:space="preserve"> 8.3</t>
  </si>
  <si>
    <t xml:space="preserve"> 8.4</t>
  </si>
  <si>
    <t xml:space="preserve"> 2.2</t>
  </si>
  <si>
    <t xml:space="preserve"> 2.3</t>
  </si>
  <si>
    <t xml:space="preserve"> 2.4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</si>
  <si>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</si>
  <si>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</si>
  <si>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</si>
  <si>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</si>
  <si>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</si>
  <si>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</si>
  <si>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>Mês 05</t>
  </si>
  <si>
    <t xml:space="preserve">UN </t>
  </si>
  <si>
    <t>3.4</t>
  </si>
  <si>
    <t>3.5</t>
  </si>
  <si>
    <t>3.1</t>
  </si>
  <si>
    <t>3.2</t>
  </si>
  <si>
    <t>3.3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</si>
  <si>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</si>
  <si>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</si>
  <si>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</si>
  <si>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</si>
  <si>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</si>
  <si>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</si>
  <si>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</si>
  <si>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</si>
  <si>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</si>
  <si>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</si>
  <si>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</si>
  <si>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</si>
  <si>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</si>
  <si>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</si>
  <si>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</si>
  <si>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</si>
  <si>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FUNDAÇÕES E SUPERESTRUTURA</t>
  </si>
  <si>
    <t>LOCACAO DE CONTAINER 2,30 X 6,00 M, ALT. 2,50 M, COM 1 SANITARIO, PARA ESCRITORIO, COMPLETO, SEM DIVISORIAS INTERNAS</t>
  </si>
  <si>
    <t>Recurso 
FEHIDRO</t>
  </si>
  <si>
    <t>ESTACA METÁLICA PARA FUNDAÇÃO, UTILIZANDO PERFIL LAMINADO HP250X62. AF_01/2020</t>
  </si>
  <si>
    <t>MOVIMENTAÇÃO DE TERRA</t>
  </si>
  <si>
    <t>ESTACAS CRAVADAS</t>
  </si>
  <si>
    <t>BLOCOS DE COROAMENTO</t>
  </si>
  <si>
    <t>PILARES DE CONCRETO ARMADO</t>
  </si>
  <si>
    <t>6.2</t>
  </si>
  <si>
    <t>6.7</t>
  </si>
  <si>
    <t>SAPATA</t>
  </si>
  <si>
    <t>15.03.030</t>
  </si>
  <si>
    <t>FORNEC.E COLOCAÇÃO DE CHUMBAD.QUÍMICOS E PARAFUSO PRISIONEIRO -  Ø 3/4"</t>
  </si>
  <si>
    <t>ASSENTAMENTO DE TUBO DE FERRO FUNDIDO PARA REDE DE ÁGUA, DN 300 MM, JUNTA ELÁSTICA, (NÃO INCLUI FORNECIMENTO). AF_11/2017</t>
  </si>
  <si>
    <t>6.3</t>
  </si>
  <si>
    <t>6.1</t>
  </si>
  <si>
    <t>PROTEÇÃO DE ELASTÔMERO PARA TUBULAÇÃO - APLICACAO PROTECAO FLEXIVEL-ELASTOMERO 3 CAMADAS-IGOLFLEX</t>
  </si>
  <si>
    <t>6.4</t>
  </si>
  <si>
    <t>6.5</t>
  </si>
  <si>
    <t>TUBOS DE FERRO FUNDIDO</t>
  </si>
  <si>
    <t>JUNTA ARGAMASSADA ENTRE TUBO DN 300 MM E O POÇO DE VISITA/ CAIXA DE CONCRETO OU ALVENARIA EM REDES DE ESGOTO. AF_01/2021</t>
  </si>
  <si>
    <t>TUBOS E PEÇAS DE PVC</t>
  </si>
  <si>
    <t>TÊ BBB PVC RÍGIDO D=300 MM JE NBR 10569 COLETOR DE ESGOTO</t>
  </si>
  <si>
    <t>HM02024</t>
  </si>
  <si>
    <t>CURVA 90° PVC RÍGIDO D=300 MM PBJE COLETOR DE ESGOTO</t>
  </si>
  <si>
    <t>HM01971</t>
  </si>
  <si>
    <t>6.6</t>
  </si>
  <si>
    <t>6.8</t>
  </si>
  <si>
    <t>6.10</t>
  </si>
  <si>
    <t>6.9</t>
  </si>
  <si>
    <t>7.4</t>
  </si>
  <si>
    <t>7.3</t>
  </si>
  <si>
    <t>M3</t>
  </si>
  <si>
    <t>CHAMINÉ CIRCULAR PARA POÇO DE VISITA PARA ESGOTO, EM CONCRETO PRÉ-MOLDADO, DIÂMETRO INTERNO = 0,6 M. AF_12/2020</t>
  </si>
  <si>
    <t>ADOTAR COMP. PARA BOLACHÃO</t>
  </si>
  <si>
    <t>ADD CHAMINÉ 2 UN X 0,50M CADA</t>
  </si>
  <si>
    <t>Obra:</t>
  </si>
  <si>
    <t>% SAAE:</t>
  </si>
  <si>
    <t>Contrapartida
SAAE</t>
  </si>
  <si>
    <t>SUBTOTAIS</t>
  </si>
  <si>
    <t>TOTAL GERAL</t>
  </si>
  <si>
    <r>
      <t xml:space="preserve">ESCAVAÇÃO HORIZONTAL, INCLUINDO ESCARIFICAÇÃO, CARGA E DESCARGA EM SOLO DE 2A CATEGORIA. AF_07/2020 </t>
    </r>
    <r>
      <rPr>
        <b/>
        <sz val="10"/>
        <rFont val="Arial"/>
        <family val="2"/>
      </rPr>
      <t>(TALUDES E CALHA DO CÓRREGO)</t>
    </r>
  </si>
  <si>
    <r>
      <t xml:space="preserve">CARGA, MANOBRA E DESCARGA DE SOLOS E MATERIAIS GRANULARES EM CAMINHÃO BASCULANTE 10 M³ - CARGA COM ESCAVADEIRA HIDRÁULICA (CAÇAMBA DE 1,20 M³ / 155 HP) E DESCARGA LIVRE (UNIDADE: M3). AF_07/2020 </t>
    </r>
    <r>
      <rPr>
        <b/>
        <sz val="10"/>
        <rFont val="Arial"/>
        <family val="2"/>
      </rPr>
      <t>(BORA FORA VEGETAÇÃO)</t>
    </r>
  </si>
  <si>
    <r>
      <t xml:space="preserve">TRANSPORTE COM CAMINHÃO BASCULANTE DE 10 M³, EM VIA URBANA PAVIMENTADA, DMT ATÉ 30 KM (UNIDADE: M3XKM). AF_07/2020 </t>
    </r>
    <r>
      <rPr>
        <b/>
        <sz val="10"/>
        <rFont val="Arial"/>
        <family val="2"/>
      </rPr>
      <t>(BORA FORA VEGETAÇÃO)</t>
    </r>
  </si>
  <si>
    <r>
      <t xml:space="preserve">LOCACAO DE ESTRUTURAS EM CONCRETO </t>
    </r>
    <r>
      <rPr>
        <b/>
        <sz val="10"/>
        <rFont val="Arial"/>
        <family val="2"/>
      </rPr>
      <t>(BLOCOS E ESTACAS)</t>
    </r>
  </si>
  <si>
    <r>
      <t xml:space="preserve">PROJETO EXECUTIVO DO MURO DE GRAVIDADE </t>
    </r>
    <r>
      <rPr>
        <b/>
        <sz val="10"/>
        <rFont val="Arial"/>
        <family val="2"/>
      </rPr>
      <t>(GABIÃO)</t>
    </r>
  </si>
  <si>
    <r>
      <t xml:space="preserve">ARMAÇÃO DE BLOCO, VIGA BALDRAME OU SAPATA UTILIZANDO AÇO CA-50 DE 6,3 MM - MONTAGEM. AF_06/2017 </t>
    </r>
    <r>
      <rPr>
        <b/>
        <sz val="10"/>
        <rFont val="Arial"/>
        <family val="2"/>
      </rPr>
      <t>(BLOCOS DE COROAMENTO)</t>
    </r>
  </si>
  <si>
    <r>
      <t xml:space="preserve">ARMAÇÃO DE BLOCO, SAPATA ISOLADA, VIGA BALDRAME E SAPATA CORRIDA UTILIZANDO AÇO CA-50 DE 12,5 MM - MONTAGEM. AF_01/2024 </t>
    </r>
    <r>
      <rPr>
        <b/>
        <sz val="10"/>
        <rFont val="Arial"/>
        <family val="2"/>
      </rPr>
      <t>(BLOCOS DE COROAMENTO)</t>
    </r>
  </si>
  <si>
    <r>
      <t xml:space="preserve">ARMAÇÃO DE BLOCO, SAPATA ISOLADA, VIGA BALDRAME E SAPATA CORRIDA UTILIZANDO AÇO CA-50 DE 16 MM - MONTAGEM. AF_01/2024 </t>
    </r>
    <r>
      <rPr>
        <b/>
        <sz val="10"/>
        <rFont val="Arial"/>
        <family val="2"/>
      </rPr>
      <t>(BLOCOS DE COROAMENTO)</t>
    </r>
  </si>
  <si>
    <r>
      <t xml:space="preserve">LANÇAMENTO E ADENSAMENTO DE CONCRETO OU MASSA POR BOMBEAMENTO </t>
    </r>
    <r>
      <rPr>
        <b/>
        <sz val="10"/>
        <rFont val="Arial"/>
        <family val="2"/>
      </rPr>
      <t>(BLOCOS DE COROAMENTO)</t>
    </r>
  </si>
  <si>
    <r>
      <t xml:space="preserve">CONCRETO USINADO, FCK = 40 MPA - PARA BOMBEAMENTO </t>
    </r>
    <r>
      <rPr>
        <b/>
        <sz val="10"/>
        <rFont val="Arial"/>
        <family val="2"/>
      </rPr>
      <t>(BLOCOS DE COROAMENTO)</t>
    </r>
  </si>
  <si>
    <r>
      <t xml:space="preserve">PEÇA CIRCULAR PRÉ-MOLDADA, VOLUME DE CONCRETO DE 30 A 100 LITROS, TAXA DE AÇO APROXIMADA DE 30KG/M³. AF_03/2024 - </t>
    </r>
    <r>
      <rPr>
        <b/>
        <sz val="10"/>
        <rFont val="Arial"/>
        <family val="2"/>
      </rPr>
      <t>(TAMPÃO P.V. "BOLACHÃO" - DIÂM. 70CM, H=10CM)</t>
    </r>
  </si>
  <si>
    <r>
      <t xml:space="preserve">FABRICAÇÃO, MONTAGEM E DESMONTAGEM DE FÔRMA PARA SAPATA, EM CHAPA DE MADEIRA COMPENSADA RESINADA, E=17 MM, 2 UTILIZAÇÕES. AF_06/2017 </t>
    </r>
    <r>
      <rPr>
        <b/>
        <sz val="10"/>
        <rFont val="Arial"/>
        <family val="2"/>
      </rPr>
      <t>(SAPATA)</t>
    </r>
  </si>
  <si>
    <r>
      <t xml:space="preserve">ARMAÇÃO DE SAPATA ISOLADA, VIGA BALDRAME E SAPATA CORRIDA UTILIZANDO AÇO CA-60 DE 5 MM - MONTAGEM. AF_01/2024 </t>
    </r>
    <r>
      <rPr>
        <b/>
        <sz val="10"/>
        <rFont val="Arial"/>
        <family val="2"/>
      </rPr>
      <t>(SAPATA)</t>
    </r>
  </si>
  <si>
    <r>
      <t xml:space="preserve">ARMAÇÃO DE BLOCO, VIGA BALDRAME OU SAPATA UTILIZANDO AÇO CA-50 DE 10 MM - MONTAGEM. AF_06/2017 </t>
    </r>
    <r>
      <rPr>
        <b/>
        <sz val="10"/>
        <rFont val="Arial"/>
        <family val="2"/>
      </rPr>
      <t>(SAPATA)</t>
    </r>
  </si>
  <si>
    <r>
      <t xml:space="preserve">LANÇAMENTO E ADENSAMENTO DE CONCRETO OU MASSA POR BOMBEAMENTO </t>
    </r>
    <r>
      <rPr>
        <b/>
        <sz val="10"/>
        <rFont val="Arial"/>
        <family val="2"/>
      </rPr>
      <t>(SAPATA)</t>
    </r>
  </si>
  <si>
    <r>
      <t xml:space="preserve">CONCRETO USINADO, FCK = 40 MPA - PARA BOMBEAMENTO </t>
    </r>
    <r>
      <rPr>
        <b/>
        <sz val="10"/>
        <rFont val="Arial"/>
        <family val="2"/>
      </rPr>
      <t>(SAPATA)</t>
    </r>
  </si>
  <si>
    <r>
      <t xml:space="preserve">FABRICAÇÃO DE FÔRMA PARA PILARES E ESTRUTURAS SIMILARES, EM CHAPA DE MADEIRA COMPENSADA RESINADA, E = 17 MM. AF_09/2020 </t>
    </r>
    <r>
      <rPr>
        <b/>
        <sz val="10"/>
        <rFont val="Arial"/>
        <family val="2"/>
      </rPr>
      <t>(PILARES)</t>
    </r>
  </si>
  <si>
    <r>
      <t xml:space="preserve">ARMAÇÃO DE PILAR OU VIGA DE ESTRUTURA CONVENCIONAL DE CONCRETO ARMADO UTILIZANDO AÇO CA-60 DE 5,0 MM - MONTAGEM. AF_06/2022 </t>
    </r>
    <r>
      <rPr>
        <b/>
        <sz val="10"/>
        <rFont val="Arial"/>
        <family val="2"/>
      </rPr>
      <t>(PILARES)</t>
    </r>
  </si>
  <si>
    <r>
      <t xml:space="preserve">ARMAÇÃO DE PILAR OU VIGA DE ESTRUTURA CONVENCIONAL DE CONCRETO ARMADO UTILIZANDO AÇO CA-50 DE 6,3 MM - MONTAGEM. AF_06/2022 </t>
    </r>
    <r>
      <rPr>
        <b/>
        <sz val="10"/>
        <rFont val="Arial"/>
        <family val="2"/>
      </rPr>
      <t>(PILARES)</t>
    </r>
  </si>
  <si>
    <r>
      <t xml:space="preserve">ARMAÇÃO DE PILAR OU VIGA DE ESTRUTURA CONVENCIONAL DE CONCRETO ARMADO UTILIZANDO AÇO CA-50 DE 16,0 MM - MONTAGEM. AF_06/2022 </t>
    </r>
    <r>
      <rPr>
        <b/>
        <sz val="10"/>
        <rFont val="Arial"/>
        <family val="2"/>
      </rPr>
      <t>(PILARES)</t>
    </r>
  </si>
  <si>
    <r>
      <t xml:space="preserve">LANÇAMENTO E ADENSAMENTO DE CONCRETO OU MASSA POR BOMBEAMENTO </t>
    </r>
    <r>
      <rPr>
        <b/>
        <sz val="10"/>
        <rFont val="Arial"/>
        <family val="2"/>
      </rPr>
      <t>(PILARES)</t>
    </r>
  </si>
  <si>
    <r>
      <t xml:space="preserve">CONCRETO USINADO, FCK = 40 MPA - PARA BOMBEAMENTO </t>
    </r>
    <r>
      <rPr>
        <b/>
        <sz val="10"/>
        <rFont val="Arial"/>
        <family val="2"/>
      </rPr>
      <t>(PILARES)</t>
    </r>
  </si>
  <si>
    <r>
      <t xml:space="preserve">LOCACAO DE OBRA E DEMARCACAO </t>
    </r>
    <r>
      <rPr>
        <b/>
        <sz val="10"/>
        <rFont val="Arial"/>
        <family val="2"/>
      </rPr>
      <t>(GABIÃO)</t>
    </r>
  </si>
  <si>
    <t>RECONSTRUÇÃO DE TRAVESSIA AÉREA DE UM TRECHO DO COLETOR DE ESGOTO DA SERRINHA - TRECHO DA AVENIDA INTEGRAÇÃO ATÉ O COLETOR DE ESGOTO NA MARGEM ESQUERDA DO CÓRREGO DA ÁGUA QUENTE, BAIRRO CIDADE ARACY</t>
  </si>
  <si>
    <t>SINAPI - 12/2024 - São Paulo
SBC - 01/2025 - São Paulo
CPOS/CDHU - 01/2025 - São Paulo
SABESP - 09/2024</t>
  </si>
  <si>
    <t>LIMPEZA MECANIZADA DE CAMADA VEGETAL, VEGETAÇÃO E PEQUENAS ÁRVORES (DIÂMETRO DE TRONCO MENOR QUE 0,20 M)</t>
  </si>
  <si>
    <t>10.1</t>
  </si>
  <si>
    <t>10.2</t>
  </si>
  <si>
    <t>SAAE</t>
  </si>
  <si>
    <t>COTAÇÃO 01</t>
  </si>
  <si>
    <t>COTAÇÃO 02</t>
  </si>
  <si>
    <t>São Carlos, ..... de ............... de 2025.</t>
  </si>
  <si>
    <t>preencher</t>
  </si>
  <si>
    <t>ANEXO IX
  DEMONSTRATIVO DE BDI</t>
  </si>
  <si>
    <r>
      <t xml:space="preserve">ANEXO IX
CRONOGRAMA FÍSICO-FINANCEIRO
</t>
    </r>
    <r>
      <rPr>
        <sz val="11"/>
        <rFont val="Arial"/>
        <family val="2"/>
      </rPr>
      <t xml:space="preserve">Evolução Física-Financeira da Obra e Cronograma Previsto de Desembolso
</t>
    </r>
  </si>
  <si>
    <t>ANEXO IX - Planilha Orçamentária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</si>
</sst>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&quot;R$ &quot;* #,##0.00_);_(&quot;R$ &quot;* \(#,##0.00\);_(&quot;R$ &quot;* \-??_);_(@_)"/>
    <numFmt numFmtId="166" formatCode="_-[$R$-416]\ * #,##0.00_-;\-[$R$-416]\ * #,##0.00_-;_-[$R$-416]\ * &quot;-&quot;??_-;_-@_-"/>
  </numFmts>
  <fonts count="44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6"/>
      <name val="Arial"/>
      <family val="1"/>
    </font>
    <font>
      <b/>
      <sz val="10"/>
      <name val="Cambria"/>
      <family val="1"/>
    </font>
    <font>
      <b/>
      <sz val="18"/>
      <name val="Cambria"/>
      <family val="1"/>
    </font>
    <font>
      <sz val="11"/>
      <name val="Arial"/>
      <family val="2"/>
    </font>
    <font>
      <b/>
      <sz val="11"/>
      <name val="Cambria"/>
      <family val="1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mbria"/>
      <family val="1"/>
    </font>
    <font>
      <b/>
      <sz val="12"/>
      <name val="Cambria"/>
      <family val="1"/>
    </font>
    <font>
      <sz val="10"/>
      <name val="Cambria"/>
      <family val="1"/>
    </font>
    <font>
      <i/>
      <sz val="10"/>
      <name val="Cambria"/>
      <family val="1"/>
    </font>
    <font>
      <b/>
      <sz val="10"/>
      <color theme="0"/>
      <name val="Cambria"/>
      <family val="1"/>
    </font>
    <font>
      <b/>
      <sz val="12"/>
      <color theme="0"/>
      <name val="Cambria"/>
      <family val="1"/>
    </font>
    <font>
      <sz val="10"/>
      <color theme="0"/>
      <name val="Cambria"/>
      <family val="1"/>
    </font>
    <font>
      <sz val="28"/>
      <color indexed="8"/>
      <name val="Arial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u/>
      <sz val="10"/>
      <color indexed="8"/>
      <name val="Calibri"/>
      <family val="2"/>
    </font>
    <font>
      <sz val="14"/>
      <color indexed="8"/>
      <name val="Calibri"/>
      <family val="2"/>
    </font>
    <font>
      <sz val="8"/>
      <color indexed="8"/>
      <name val="Arial"/>
      <family val="2"/>
    </font>
    <font>
      <sz val="11"/>
      <color rgb="FF3F3F76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Arial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color indexed="56"/>
      <name val="Verdana"/>
      <family val="2"/>
    </font>
    <font>
      <b/>
      <i/>
      <sz val="11"/>
      <color indexed="56"/>
      <name val="Verdana"/>
      <family val="2"/>
    </font>
    <font>
      <sz val="10"/>
      <color indexed="56"/>
      <name val="Verdana"/>
      <family val="2"/>
    </font>
    <font>
      <sz val="10"/>
      <color indexed="10"/>
      <name val="Verdana"/>
      <family val="2"/>
    </font>
    <font>
      <sz val="11"/>
      <color indexed="56"/>
      <name val="Verdana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rgb="FFCCCCCC"/>
      </left>
      <right/>
      <top style="thin">
        <color indexed="6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/>
      <right style="thin">
        <color rgb="FFCCCCCC"/>
      </right>
      <top style="thin">
        <color indexed="64"/>
      </top>
      <bottom style="thin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rgb="FFCCCCCC"/>
      </bottom>
      <diagonal/>
    </border>
    <border>
      <left/>
      <right style="thin">
        <color auto="1"/>
      </right>
      <top style="thin">
        <color rgb="FFCCCCCC"/>
      </top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 style="thin">
        <color indexed="64"/>
      </bottom>
      <diagonal/>
    </border>
    <border>
      <left/>
      <right style="thin">
        <color rgb="FFCCCCCC"/>
      </right>
      <top style="thin">
        <color auto="1"/>
      </top>
      <bottom/>
      <diagonal/>
    </border>
    <border>
      <left/>
      <right style="thin">
        <color rgb="FFCCCCCC"/>
      </right>
      <top/>
      <bottom/>
      <diagonal/>
    </border>
    <border>
      <left/>
      <right style="thin">
        <color rgb="FFCCCCCC"/>
      </right>
      <top/>
      <bottom style="thin">
        <color auto="1"/>
      </bottom>
      <diagonal/>
    </border>
    <border>
      <left style="thin">
        <color auto="1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30" fillId="14" borderId="37" applyNumberFormat="0" applyAlignment="0" applyProtection="0"/>
  </cellStyleXfs>
  <cellXfs count="211">
    <xf numFmtId="0" fontId="0" fillId="0" borderId="0" xfId="0"/>
    <xf numFmtId="0" fontId="2" fillId="2" borderId="3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center" vertical="center"/>
    </xf>
    <xf numFmtId="0" fontId="13" fillId="0" borderId="16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4" fontId="7" fillId="0" borderId="14" xfId="2" applyFont="1" applyFill="1" applyBorder="1" applyAlignment="1" applyProtection="1">
      <alignment horizontal="center" vertical="center"/>
    </xf>
    <xf numFmtId="0" fontId="16" fillId="0" borderId="0" xfId="0" applyFont="1"/>
    <xf numFmtId="10" fontId="17" fillId="0" borderId="16" xfId="3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/>
    </xf>
    <xf numFmtId="9" fontId="16" fillId="0" borderId="0" xfId="3" applyFont="1" applyBorder="1" applyAlignment="1" applyProtection="1">
      <alignment horizontal="center" vertical="center"/>
    </xf>
    <xf numFmtId="44" fontId="7" fillId="0" borderId="0" xfId="2" applyFont="1" applyBorder="1" applyAlignment="1" applyProtection="1">
      <alignment horizontal="center" vertical="center"/>
    </xf>
    <xf numFmtId="10" fontId="7" fillId="0" borderId="0" xfId="3" applyNumberFormat="1" applyFont="1" applyBorder="1" applyAlignment="1" applyProtection="1">
      <alignment horizontal="center" vertical="center"/>
    </xf>
    <xf numFmtId="165" fontId="18" fillId="13" borderId="17" xfId="0" applyNumberFormat="1" applyFont="1" applyFill="1" applyBorder="1" applyAlignment="1">
      <alignment vertical="center"/>
    </xf>
    <xf numFmtId="10" fontId="20" fillId="13" borderId="19" xfId="3" applyNumberFormat="1" applyFont="1" applyFill="1" applyBorder="1" applyAlignment="1" applyProtection="1">
      <alignment horizontal="center" vertical="center"/>
    </xf>
    <xf numFmtId="165" fontId="7" fillId="0" borderId="20" xfId="0" applyNumberFormat="1" applyFont="1" applyFill="1" applyBorder="1" applyAlignment="1">
      <alignment vertical="center"/>
    </xf>
    <xf numFmtId="10" fontId="16" fillId="0" borderId="19" xfId="3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23" fillId="0" borderId="24" xfId="4" applyFont="1" applyBorder="1" applyAlignment="1">
      <alignment vertical="center"/>
    </xf>
    <xf numFmtId="0" fontId="23" fillId="0" borderId="25" xfId="4" applyFont="1" applyBorder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/>
    <xf numFmtId="0" fontId="25" fillId="0" borderId="0" xfId="4" applyFont="1" applyAlignment="1">
      <alignment vertical="center"/>
    </xf>
    <xf numFmtId="0" fontId="24" fillId="0" borderId="0" xfId="4" applyFont="1" applyAlignment="1"/>
    <xf numFmtId="0" fontId="23" fillId="0" borderId="0" xfId="4" applyFont="1" applyAlignment="1">
      <alignment horizontal="center"/>
    </xf>
    <xf numFmtId="0" fontId="25" fillId="0" borderId="0" xfId="4" applyFont="1" applyAlignment="1">
      <alignment horizontal="center" vertical="center"/>
    </xf>
    <xf numFmtId="0" fontId="23" fillId="0" borderId="28" xfId="4" applyFont="1" applyBorder="1" applyAlignment="1">
      <alignment vertical="center"/>
    </xf>
    <xf numFmtId="0" fontId="23" fillId="0" borderId="29" xfId="4" applyFont="1" applyBorder="1" applyAlignment="1">
      <alignment vertical="center"/>
    </xf>
    <xf numFmtId="0" fontId="25" fillId="0" borderId="29" xfId="4" applyFont="1" applyBorder="1" applyAlignment="1">
      <alignment horizontal="right" vertical="center"/>
    </xf>
    <xf numFmtId="0" fontId="23" fillId="0" borderId="31" xfId="4" applyFont="1" applyBorder="1" applyAlignment="1">
      <alignment vertical="center"/>
    </xf>
    <xf numFmtId="0" fontId="24" fillId="0" borderId="24" xfId="4" applyFont="1" applyBorder="1" applyAlignment="1"/>
    <xf numFmtId="10" fontId="23" fillId="0" borderId="0" xfId="4" applyNumberFormat="1" applyFont="1" applyAlignment="1">
      <alignment horizontal="center"/>
    </xf>
    <xf numFmtId="0" fontId="23" fillId="0" borderId="21" xfId="4" applyFont="1" applyBorder="1" applyAlignment="1">
      <alignment horizontal="center" vertical="center"/>
    </xf>
    <xf numFmtId="0" fontId="23" fillId="0" borderId="22" xfId="4" applyFont="1" applyBorder="1" applyAlignment="1">
      <alignment horizontal="center" vertical="center"/>
    </xf>
    <xf numFmtId="0" fontId="26" fillId="0" borderId="22" xfId="4" applyFont="1" applyBorder="1" applyAlignment="1">
      <alignment horizontal="right" vertical="center"/>
    </xf>
    <xf numFmtId="0" fontId="23" fillId="0" borderId="23" xfId="4" applyFont="1" applyBorder="1" applyAlignment="1">
      <alignment vertical="center"/>
    </xf>
    <xf numFmtId="0" fontId="23" fillId="0" borderId="24" xfId="4" applyFont="1" applyBorder="1" applyAlignment="1">
      <alignment horizontal="center" vertical="center"/>
    </xf>
    <xf numFmtId="0" fontId="26" fillId="0" borderId="0" xfId="4" applyFont="1" applyAlignment="1">
      <alignment horizontal="right" vertical="center"/>
    </xf>
    <xf numFmtId="0" fontId="25" fillId="0" borderId="28" xfId="4" applyFont="1" applyBorder="1" applyAlignment="1">
      <alignment horizontal="right" vertical="center"/>
    </xf>
    <xf numFmtId="0" fontId="23" fillId="0" borderId="29" xfId="4" applyFont="1" applyBorder="1" applyAlignment="1">
      <alignment horizontal="right" vertical="center"/>
    </xf>
    <xf numFmtId="0" fontId="23" fillId="0" borderId="21" xfId="4" applyFont="1" applyBorder="1" applyAlignment="1">
      <alignment vertical="center"/>
    </xf>
    <xf numFmtId="0" fontId="23" fillId="0" borderId="22" xfId="4" applyFont="1" applyBorder="1" applyAlignment="1">
      <alignment vertical="center"/>
    </xf>
    <xf numFmtId="0" fontId="25" fillId="0" borderId="24" xfId="4" applyFont="1" applyBorder="1" applyAlignment="1">
      <alignment vertical="center"/>
    </xf>
    <xf numFmtId="0" fontId="27" fillId="0" borderId="0" xfId="4" applyFont="1" applyAlignment="1">
      <alignment horizontal="center" vertical="center"/>
    </xf>
    <xf numFmtId="0" fontId="28" fillId="0" borderId="0" xfId="4" applyFont="1" applyAlignment="1">
      <alignment vertical="center"/>
    </xf>
    <xf numFmtId="0" fontId="23" fillId="0" borderId="0" xfId="4" applyFont="1" applyAlignment="1">
      <alignment horizontal="center" vertical="center"/>
    </xf>
    <xf numFmtId="0" fontId="23" fillId="0" borderId="26" xfId="4" applyFont="1" applyBorder="1" applyAlignment="1">
      <alignment vertical="center"/>
    </xf>
    <xf numFmtId="0" fontId="23" fillId="0" borderId="13" xfId="4" applyFont="1" applyBorder="1" applyAlignment="1">
      <alignment vertical="center"/>
    </xf>
    <xf numFmtId="0" fontId="23" fillId="0" borderId="27" xfId="4" applyFont="1" applyBorder="1" applyAlignment="1">
      <alignment vertical="center"/>
    </xf>
    <xf numFmtId="0" fontId="29" fillId="0" borderId="11" xfId="4" applyFont="1" applyBorder="1" applyAlignment="1">
      <alignment horizontal="center"/>
    </xf>
    <xf numFmtId="4" fontId="25" fillId="0" borderId="0" xfId="4" applyNumberFormat="1" applyFont="1" applyAlignment="1">
      <alignment horizontal="right" vertical="center"/>
    </xf>
    <xf numFmtId="0" fontId="22" fillId="0" borderId="0" xfId="4" applyFont="1" applyAlignment="1">
      <alignment horizontal="right" vertical="center"/>
    </xf>
    <xf numFmtId="4" fontId="22" fillId="0" borderId="0" xfId="4" applyNumberFormat="1" applyFont="1" applyAlignment="1">
      <alignment vertical="center"/>
    </xf>
    <xf numFmtId="0" fontId="2" fillId="6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10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4" xfId="0" applyFont="1" applyBorder="1"/>
    <xf numFmtId="0" fontId="0" fillId="0" borderId="0" xfId="0" applyFont="1"/>
    <xf numFmtId="0" fontId="0" fillId="0" borderId="0" xfId="0" applyFont="1" applyAlignment="1">
      <alignment vertical="top"/>
    </xf>
    <xf numFmtId="0" fontId="3" fillId="10" borderId="6" xfId="0" applyFont="1" applyFill="1" applyBorder="1" applyAlignment="1">
      <alignment horizontal="left" vertical="top" wrapText="1"/>
    </xf>
    <xf numFmtId="0" fontId="3" fillId="10" borderId="0" xfId="0" applyFont="1" applyFill="1" applyBorder="1" applyAlignment="1">
      <alignment vertical="top" wrapText="1"/>
    </xf>
    <xf numFmtId="0" fontId="0" fillId="0" borderId="0" xfId="0" applyFont="1" applyAlignment="1">
      <alignment horizontal="right" vertical="top"/>
    </xf>
    <xf numFmtId="10" fontId="33" fillId="14" borderId="37" xfId="5" applyNumberFormat="1" applyFont="1" applyAlignment="1">
      <alignment vertical="top"/>
    </xf>
    <xf numFmtId="0" fontId="2" fillId="4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0" fontId="3" fillId="7" borderId="32" xfId="0" applyNumberFormat="1" applyFont="1" applyFill="1" applyBorder="1" applyAlignment="1">
      <alignment horizontal="left" vertical="top" wrapText="1"/>
    </xf>
    <xf numFmtId="0" fontId="3" fillId="7" borderId="33" xfId="0" applyFont="1" applyFill="1" applyBorder="1" applyAlignment="1">
      <alignment horizontal="left" vertical="top" wrapText="1"/>
    </xf>
    <xf numFmtId="0" fontId="3" fillId="8" borderId="33" xfId="0" applyFont="1" applyFill="1" applyBorder="1" applyAlignment="1">
      <alignment horizontal="right" vertical="top" wrapText="1"/>
    </xf>
    <xf numFmtId="44" fontId="3" fillId="9" borderId="33" xfId="2" applyFont="1" applyFill="1" applyBorder="1" applyAlignment="1">
      <alignment horizontal="right" vertical="top" wrapText="1"/>
    </xf>
    <xf numFmtId="44" fontId="34" fillId="9" borderId="33" xfId="2" applyFont="1" applyFill="1" applyBorder="1" applyAlignment="1">
      <alignment horizontal="right" vertical="top" wrapText="1"/>
    </xf>
    <xf numFmtId="10" fontId="3" fillId="9" borderId="34" xfId="3" applyNumberFormat="1" applyFont="1" applyFill="1" applyBorder="1" applyAlignment="1">
      <alignment horizontal="righ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43" fontId="4" fillId="0" borderId="1" xfId="1" applyFont="1" applyFill="1" applyBorder="1" applyAlignment="1">
      <alignment horizontal="right" vertical="top" wrapText="1"/>
    </xf>
    <xf numFmtId="44" fontId="4" fillId="0" borderId="1" xfId="2" applyFont="1" applyFill="1" applyBorder="1" applyAlignment="1">
      <alignment horizontal="right" vertical="top" wrapText="1"/>
    </xf>
    <xf numFmtId="44" fontId="4" fillId="0" borderId="36" xfId="2" applyFont="1" applyFill="1" applyBorder="1" applyAlignment="1">
      <alignment horizontal="right" vertical="top" wrapText="1"/>
    </xf>
    <xf numFmtId="164" fontId="4" fillId="0" borderId="9" xfId="0" applyNumberFormat="1" applyFont="1" applyFill="1" applyBorder="1" applyAlignment="1">
      <alignment horizontal="right" vertical="top" wrapText="1"/>
    </xf>
    <xf numFmtId="0" fontId="3" fillId="7" borderId="8" xfId="0" applyNumberFormat="1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43" fontId="3" fillId="8" borderId="1" xfId="1" applyFont="1" applyFill="1" applyBorder="1" applyAlignment="1">
      <alignment horizontal="right" vertical="top" wrapText="1"/>
    </xf>
    <xf numFmtId="44" fontId="3" fillId="9" borderId="1" xfId="2" applyFont="1" applyFill="1" applyBorder="1" applyAlignment="1">
      <alignment horizontal="right" vertical="top" wrapText="1"/>
    </xf>
    <xf numFmtId="44" fontId="34" fillId="9" borderId="1" xfId="2" applyFont="1" applyFill="1" applyBorder="1" applyAlignment="1">
      <alignment horizontal="right" vertical="top" wrapText="1"/>
    </xf>
    <xf numFmtId="10" fontId="3" fillId="9" borderId="9" xfId="3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vertical="top" wrapText="1"/>
    </xf>
    <xf numFmtId="0" fontId="4" fillId="0" borderId="48" xfId="0" applyFont="1" applyFill="1" applyBorder="1" applyAlignment="1">
      <alignment horizontal="left" vertical="top" wrapText="1"/>
    </xf>
    <xf numFmtId="0" fontId="4" fillId="0" borderId="49" xfId="0" applyFont="1" applyFill="1" applyBorder="1" applyAlignment="1">
      <alignment horizontal="right" vertical="top" wrapText="1"/>
    </xf>
    <xf numFmtId="0" fontId="4" fillId="0" borderId="49" xfId="0" applyFont="1" applyFill="1" applyBorder="1" applyAlignment="1">
      <alignment horizontal="left" vertical="top" wrapText="1"/>
    </xf>
    <xf numFmtId="0" fontId="4" fillId="0" borderId="49" xfId="0" applyFont="1" applyFill="1" applyBorder="1" applyAlignment="1">
      <alignment horizontal="center" vertical="top" wrapText="1"/>
    </xf>
    <xf numFmtId="43" fontId="4" fillId="0" borderId="49" xfId="1" applyFont="1" applyFill="1" applyBorder="1" applyAlignment="1">
      <alignment horizontal="right" vertical="top" wrapText="1"/>
    </xf>
    <xf numFmtId="44" fontId="4" fillId="0" borderId="49" xfId="2" applyFont="1" applyFill="1" applyBorder="1" applyAlignment="1">
      <alignment horizontal="right" vertical="top" wrapText="1"/>
    </xf>
    <xf numFmtId="44" fontId="4" fillId="0" borderId="39" xfId="2" applyFont="1" applyFill="1" applyBorder="1" applyAlignment="1">
      <alignment horizontal="right" vertical="top" wrapText="1"/>
    </xf>
    <xf numFmtId="164" fontId="4" fillId="0" borderId="40" xfId="0" applyNumberFormat="1" applyFont="1" applyFill="1" applyBorder="1" applyAlignment="1">
      <alignment horizontal="righ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right" vertical="top" wrapText="1"/>
    </xf>
    <xf numFmtId="0" fontId="4" fillId="0" borderId="38" xfId="0" applyFont="1" applyFill="1" applyBorder="1" applyAlignment="1">
      <alignment horizontal="center" vertical="top" wrapText="1"/>
    </xf>
    <xf numFmtId="43" fontId="4" fillId="0" borderId="38" xfId="1" applyFont="1" applyFill="1" applyBorder="1" applyAlignment="1">
      <alignment horizontal="right" vertical="top" wrapText="1"/>
    </xf>
    <xf numFmtId="44" fontId="4" fillId="0" borderId="38" xfId="2" applyFont="1" applyFill="1" applyBorder="1" applyAlignment="1">
      <alignment horizontal="right" vertical="top" wrapText="1"/>
    </xf>
    <xf numFmtId="164" fontId="4" fillId="0" borderId="38" xfId="0" applyNumberFormat="1" applyFont="1" applyFill="1" applyBorder="1" applyAlignment="1">
      <alignment horizontal="right" vertical="top" wrapText="1"/>
    </xf>
    <xf numFmtId="44" fontId="36" fillId="0" borderId="36" xfId="2" applyFont="1" applyFill="1" applyBorder="1" applyAlignment="1">
      <alignment horizontal="right" vertical="top" wrapText="1"/>
    </xf>
    <xf numFmtId="10" fontId="37" fillId="0" borderId="39" xfId="3" applyNumberFormat="1" applyFont="1" applyFill="1" applyBorder="1" applyAlignment="1">
      <alignment horizontal="center" vertical="top" wrapText="1"/>
    </xf>
    <xf numFmtId="0" fontId="3" fillId="11" borderId="0" xfId="0" applyFont="1" applyFill="1" applyBorder="1" applyAlignment="1">
      <alignment horizontal="center" vertical="top" wrapText="1"/>
    </xf>
    <xf numFmtId="0" fontId="0" fillId="0" borderId="0" xfId="0" applyFont="1" applyBorder="1"/>
    <xf numFmtId="43" fontId="4" fillId="0" borderId="1" xfId="1" applyNumberFormat="1" applyFont="1" applyFill="1" applyBorder="1" applyAlignment="1">
      <alignment horizontal="right" vertical="top" wrapText="1"/>
    </xf>
    <xf numFmtId="0" fontId="38" fillId="0" borderId="0" xfId="0" applyFont="1" applyBorder="1" applyAlignment="1">
      <alignment horizontal="center"/>
    </xf>
    <xf numFmtId="2" fontId="39" fillId="0" borderId="0" xfId="0" applyNumberFormat="1" applyFont="1" applyBorder="1" applyAlignment="1">
      <alignment horizontal="center"/>
    </xf>
    <xf numFmtId="2" fontId="39" fillId="0" borderId="0" xfId="0" applyNumberFormat="1" applyFont="1" applyBorder="1" applyAlignment="1">
      <alignment horizontal="left"/>
    </xf>
    <xf numFmtId="2" fontId="39" fillId="0" borderId="0" xfId="0" applyNumberFormat="1" applyFont="1" applyFill="1" applyBorder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0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2" fontId="42" fillId="0" borderId="0" xfId="0" applyNumberFormat="1" applyFont="1"/>
    <xf numFmtId="2" fontId="4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43" fontId="16" fillId="0" borderId="0" xfId="1" applyFont="1" applyBorder="1" applyAlignment="1" applyProtection="1">
      <alignment horizontal="center" vertical="center"/>
    </xf>
    <xf numFmtId="0" fontId="40" fillId="0" borderId="0" xfId="0" applyFont="1" applyBorder="1"/>
    <xf numFmtId="2" fontId="38" fillId="0" borderId="0" xfId="0" applyNumberFormat="1" applyFont="1" applyBorder="1" applyAlignment="1"/>
    <xf numFmtId="0" fontId="40" fillId="0" borderId="0" xfId="0" applyFont="1" applyBorder="1" applyAlignment="1"/>
    <xf numFmtId="43" fontId="16" fillId="0" borderId="0" xfId="1" applyFont="1" applyBorder="1" applyAlignment="1" applyProtection="1">
      <alignment horizontal="center" vertical="center"/>
    </xf>
    <xf numFmtId="44" fontId="4" fillId="0" borderId="50" xfId="2" applyFont="1" applyFill="1" applyBorder="1" applyAlignment="1">
      <alignment horizontal="right" vertical="top" wrapText="1"/>
    </xf>
    <xf numFmtId="0" fontId="41" fillId="0" borderId="0" xfId="0" applyFont="1" applyBorder="1"/>
    <xf numFmtId="17" fontId="43" fillId="15" borderId="16" xfId="0" quotePrefix="1" applyNumberFormat="1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left" vertical="top" wrapText="1"/>
    </xf>
    <xf numFmtId="0" fontId="3" fillId="10" borderId="7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44" fontId="35" fillId="0" borderId="35" xfId="2" applyFont="1" applyFill="1" applyBorder="1" applyAlignment="1">
      <alignment horizontal="center" vertical="top" wrapText="1"/>
    </xf>
    <xf numFmtId="44" fontId="35" fillId="0" borderId="42" xfId="2" applyFont="1" applyFill="1" applyBorder="1" applyAlignment="1">
      <alignment horizontal="center" vertical="top" wrapText="1"/>
    </xf>
    <xf numFmtId="44" fontId="31" fillId="0" borderId="36" xfId="2" applyFont="1" applyFill="1" applyBorder="1" applyAlignment="1">
      <alignment horizontal="center" vertical="top" wrapText="1"/>
    </xf>
    <xf numFmtId="44" fontId="31" fillId="0" borderId="43" xfId="2" applyFont="1" applyFill="1" applyBorder="1" applyAlignment="1">
      <alignment horizontal="center" vertical="top" wrapText="1"/>
    </xf>
    <xf numFmtId="44" fontId="35" fillId="0" borderId="41" xfId="2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2" fontId="38" fillId="0" borderId="0" xfId="0" applyNumberFormat="1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10" fontId="35" fillId="0" borderId="39" xfId="3" applyNumberFormat="1" applyFont="1" applyFill="1" applyBorder="1" applyAlignment="1">
      <alignment horizontal="right" vertical="top" wrapText="1"/>
    </xf>
    <xf numFmtId="10" fontId="35" fillId="0" borderId="44" xfId="3" applyNumberFormat="1" applyFont="1" applyFill="1" applyBorder="1" applyAlignment="1">
      <alignment horizontal="right" vertical="top" wrapText="1"/>
    </xf>
    <xf numFmtId="0" fontId="32" fillId="12" borderId="3" xfId="0" applyFont="1" applyFill="1" applyBorder="1" applyAlignment="1">
      <alignment horizontal="left" vertical="top" wrapText="1"/>
    </xf>
    <xf numFmtId="0" fontId="32" fillId="12" borderId="4" xfId="0" applyFont="1" applyFill="1" applyBorder="1" applyAlignment="1">
      <alignment horizontal="left" vertical="top" wrapText="1"/>
    </xf>
    <xf numFmtId="0" fontId="32" fillId="12" borderId="45" xfId="0" applyFont="1" applyFill="1" applyBorder="1" applyAlignment="1">
      <alignment horizontal="left" vertical="top" wrapText="1"/>
    </xf>
    <xf numFmtId="0" fontId="32" fillId="12" borderId="6" xfId="0" applyFont="1" applyFill="1" applyBorder="1" applyAlignment="1">
      <alignment horizontal="left" vertical="top" wrapText="1"/>
    </xf>
    <xf numFmtId="0" fontId="32" fillId="12" borderId="0" xfId="0" applyFont="1" applyFill="1" applyBorder="1" applyAlignment="1">
      <alignment horizontal="left" vertical="top" wrapText="1"/>
    </xf>
    <xf numFmtId="0" fontId="32" fillId="12" borderId="46" xfId="0" applyFont="1" applyFill="1" applyBorder="1" applyAlignment="1">
      <alignment horizontal="left" vertical="top" wrapText="1"/>
    </xf>
    <xf numFmtId="0" fontId="32" fillId="12" borderId="10" xfId="0" applyFont="1" applyFill="1" applyBorder="1" applyAlignment="1">
      <alignment horizontal="left" vertical="top" wrapText="1"/>
    </xf>
    <xf numFmtId="0" fontId="32" fillId="12" borderId="11" xfId="0" applyFont="1" applyFill="1" applyBorder="1" applyAlignment="1">
      <alignment horizontal="left" vertical="top" wrapText="1"/>
    </xf>
    <xf numFmtId="0" fontId="32" fillId="12" borderId="47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15" fillId="0" borderId="17" xfId="1" applyNumberFormat="1" applyFont="1" applyFill="1" applyBorder="1" applyAlignment="1" applyProtection="1">
      <alignment horizontal="center" vertical="center" wrapText="1"/>
    </xf>
    <xf numFmtId="4" fontId="15" fillId="0" borderId="18" xfId="1" applyNumberFormat="1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>
      <alignment horizontal="right" wrapText="1"/>
    </xf>
    <xf numFmtId="0" fontId="10" fillId="0" borderId="13" xfId="0" applyFont="1" applyFill="1" applyBorder="1" applyAlignment="1">
      <alignment horizontal="right" wrapText="1"/>
    </xf>
    <xf numFmtId="0" fontId="7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top"/>
    </xf>
    <xf numFmtId="0" fontId="7" fillId="0" borderId="19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44" fontId="7" fillId="0" borderId="17" xfId="2" applyFont="1" applyFill="1" applyBorder="1" applyAlignment="1" applyProtection="1">
      <alignment horizontal="center" vertical="top"/>
    </xf>
    <xf numFmtId="44" fontId="7" fillId="0" borderId="19" xfId="2" applyFont="1" applyFill="1" applyBorder="1" applyAlignment="1" applyProtection="1">
      <alignment horizontal="center" vertical="top"/>
    </xf>
    <xf numFmtId="10" fontId="7" fillId="0" borderId="17" xfId="3" applyNumberFormat="1" applyFont="1" applyFill="1" applyBorder="1" applyAlignment="1" applyProtection="1">
      <alignment horizontal="center" vertical="top"/>
    </xf>
    <xf numFmtId="10" fontId="7" fillId="0" borderId="19" xfId="3" applyNumberFormat="1" applyFont="1" applyFill="1" applyBorder="1" applyAlignment="1" applyProtection="1">
      <alignment horizontal="center" vertical="top"/>
    </xf>
    <xf numFmtId="0" fontId="38" fillId="0" borderId="0" xfId="0" applyFont="1" applyAlignment="1">
      <alignment horizontal="center"/>
    </xf>
    <xf numFmtId="43" fontId="16" fillId="0" borderId="0" xfId="1" applyFont="1" applyBorder="1" applyAlignment="1" applyProtection="1">
      <alignment horizontal="center" vertical="center"/>
    </xf>
    <xf numFmtId="43" fontId="16" fillId="0" borderId="0" xfId="1" applyFont="1" applyBorder="1" applyAlignment="1" applyProtection="1">
      <alignment horizontal="right" vertical="center"/>
    </xf>
    <xf numFmtId="0" fontId="18" fillId="13" borderId="17" xfId="0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horizontal="center" vertical="center"/>
    </xf>
    <xf numFmtId="44" fontId="19" fillId="13" borderId="17" xfId="2" applyFont="1" applyFill="1" applyBorder="1" applyAlignment="1" applyProtection="1">
      <alignment horizontal="center" vertical="center"/>
    </xf>
    <xf numFmtId="44" fontId="19" fillId="13" borderId="19" xfId="2" applyFont="1" applyFill="1" applyBorder="1" applyAlignment="1" applyProtection="1">
      <alignment horizontal="center" vertical="center"/>
    </xf>
    <xf numFmtId="10" fontId="18" fillId="13" borderId="17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4" fontId="7" fillId="0" borderId="20" xfId="2" applyFont="1" applyFill="1" applyBorder="1" applyAlignment="1" applyProtection="1">
      <alignment horizontal="center" vertical="center"/>
    </xf>
    <xf numFmtId="44" fontId="7" fillId="0" borderId="19" xfId="2" applyFont="1" applyFill="1" applyBorder="1" applyAlignment="1" applyProtection="1">
      <alignment horizontal="center" vertical="center"/>
    </xf>
    <xf numFmtId="0" fontId="24" fillId="0" borderId="0" xfId="4" applyFont="1"/>
    <xf numFmtId="0" fontId="21" fillId="0" borderId="21" xfId="4" applyFont="1" applyBorder="1" applyAlignment="1">
      <alignment horizontal="center" vertical="center" wrapText="1"/>
    </xf>
    <xf numFmtId="0" fontId="21" fillId="0" borderId="22" xfId="4" applyFont="1" applyBorder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2" fillId="0" borderId="30" xfId="4" applyFont="1" applyBorder="1" applyAlignment="1">
      <alignment horizontal="center" vertical="center"/>
    </xf>
    <xf numFmtId="0" fontId="23" fillId="0" borderId="22" xfId="4" applyFont="1" applyBorder="1" applyAlignment="1">
      <alignment horizontal="left" vertical="top" wrapText="1"/>
    </xf>
    <xf numFmtId="0" fontId="23" fillId="0" borderId="0" xfId="4" applyFont="1" applyBorder="1" applyAlignment="1">
      <alignment horizontal="left" vertical="top" wrapText="1"/>
    </xf>
    <xf numFmtId="0" fontId="24" fillId="0" borderId="24" xfId="4" applyFont="1" applyBorder="1"/>
    <xf numFmtId="0" fontId="24" fillId="0" borderId="29" xfId="4" applyFont="1" applyBorder="1"/>
    <xf numFmtId="0" fontId="25" fillId="0" borderId="13" xfId="4" applyFont="1" applyBorder="1" applyAlignment="1">
      <alignment vertical="center"/>
    </xf>
    <xf numFmtId="0" fontId="25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2" fillId="0" borderId="0" xfId="4" applyFont="1" applyAlignment="1">
      <alignment vertical="center"/>
    </xf>
  </cellXfs>
  <cellStyles count="6">
    <cellStyle name="Entrada" xfId="5" builtinId="20"/>
    <cellStyle name="Moeda" xfId="2" builtinId="4"/>
    <cellStyle name="Normal" xfId="0" builtinId="0"/>
    <cellStyle name="Normal 2" xfId="4"/>
    <cellStyle name="Porcentagem" xfId="3" builtinId="5"/>
    <cellStyle name="Vírgula" xfId="1" builtinId="3"/>
  </cellStyles>
  <dxfs count="6">
    <dxf>
      <font>
        <b val="0"/>
        <i/>
        <color auto="1"/>
      </font>
      <fill>
        <patternFill>
          <bgColor theme="4" tint="0.59996337778862885"/>
        </patternFill>
      </fill>
    </dxf>
    <dxf>
      <font>
        <b val="0"/>
        <i/>
        <color auto="1"/>
      </font>
      <fill>
        <patternFill>
          <bgColor theme="4" tint="0.59996337778862885"/>
        </patternFill>
      </fill>
    </dxf>
    <dxf>
      <font>
        <b val="0"/>
        <i/>
        <color auto="1"/>
      </font>
      <fill>
        <patternFill>
          <bgColor theme="4" tint="0.59996337778862885"/>
        </patternFill>
      </fill>
    </dxf>
    <dxf>
      <font>
        <b val="0"/>
        <i/>
        <color auto="1"/>
      </font>
      <fill>
        <patternFill>
          <bgColor theme="4" tint="0.59996337778862885"/>
        </patternFill>
      </fill>
    </dxf>
    <dxf>
      <font>
        <b val="0"/>
        <i/>
        <color auto="1"/>
      </font>
      <fill>
        <patternFill>
          <bgColor theme="4" tint="0.59996337778862885"/>
        </patternFill>
      </fill>
    </dxf>
    <dxf>
      <font>
        <b val="0"/>
        <i/>
        <color auto="1"/>
      </font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2</xdr:col>
      <xdr:colOff>23813</xdr:colOff>
      <xdr:row>2</xdr:row>
      <xdr:rowOff>142875</xdr:rowOff>
    </xdr:to>
    <xdr:pic>
      <xdr:nvPicPr>
        <xdr:cNvPr id="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443038" cy="1304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690563</xdr:colOff>
      <xdr:row>0</xdr:row>
      <xdr:rowOff>1154082</xdr:rowOff>
    </xdr:to>
    <xdr:pic>
      <xdr:nvPicPr>
        <xdr:cNvPr id="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0"/>
          <a:ext cx="1282700" cy="11540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22</xdr:row>
      <xdr:rowOff>47625</xdr:rowOff>
    </xdr:from>
    <xdr:to>
      <xdr:col>2</xdr:col>
      <xdr:colOff>200025</xdr:colOff>
      <xdr:row>24</xdr:row>
      <xdr:rowOff>123825</xdr:rowOff>
    </xdr:to>
    <xdr:sp macro="" textlink="">
      <xdr:nvSpPr>
        <xdr:cNvPr id="2" name="Chave esquerda 1"/>
        <xdr:cNvSpPr>
          <a:spLocks/>
        </xdr:cNvSpPr>
      </xdr:nvSpPr>
      <xdr:spPr bwMode="auto">
        <a:xfrm>
          <a:off x="1895475" y="4419600"/>
          <a:ext cx="104775" cy="438150"/>
        </a:xfrm>
        <a:prstGeom prst="leftBrace">
          <a:avLst>
            <a:gd name="adj1" fmla="val 8432"/>
            <a:gd name="adj2" fmla="val 50852"/>
          </a:avLst>
        </a:prstGeom>
        <a:noFill/>
        <a:ln w="6350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390525</xdr:colOff>
      <xdr:row>32</xdr:row>
      <xdr:rowOff>142875</xdr:rowOff>
    </xdr:from>
    <xdr:to>
      <xdr:col>1</xdr:col>
      <xdr:colOff>438150</xdr:colOff>
      <xdr:row>35</xdr:row>
      <xdr:rowOff>28575</xdr:rowOff>
    </xdr:to>
    <xdr:sp macro="" textlink="">
      <xdr:nvSpPr>
        <xdr:cNvPr id="3" name="Colchete esquerdo 2"/>
        <xdr:cNvSpPr>
          <a:spLocks/>
        </xdr:cNvSpPr>
      </xdr:nvSpPr>
      <xdr:spPr bwMode="auto">
        <a:xfrm>
          <a:off x="1143000" y="6372225"/>
          <a:ext cx="47625" cy="485775"/>
        </a:xfrm>
        <a:prstGeom prst="leftBracket">
          <a:avLst>
            <a:gd name="adj" fmla="val 805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38100</xdr:colOff>
      <xdr:row>32</xdr:row>
      <xdr:rowOff>104775</xdr:rowOff>
    </xdr:from>
    <xdr:to>
      <xdr:col>5</xdr:col>
      <xdr:colOff>95250</xdr:colOff>
      <xdr:row>35</xdr:row>
      <xdr:rowOff>0</xdr:rowOff>
    </xdr:to>
    <xdr:sp macro="" textlink="">
      <xdr:nvSpPr>
        <xdr:cNvPr id="4" name="Colchete direito 4"/>
        <xdr:cNvSpPr>
          <a:spLocks/>
        </xdr:cNvSpPr>
      </xdr:nvSpPr>
      <xdr:spPr bwMode="auto">
        <a:xfrm>
          <a:off x="5715000" y="6334125"/>
          <a:ext cx="57150" cy="495300"/>
        </a:xfrm>
        <a:prstGeom prst="rightBracket">
          <a:avLst>
            <a:gd name="adj" fmla="val 79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38100</xdr:colOff>
      <xdr:row>38</xdr:row>
      <xdr:rowOff>104775</xdr:rowOff>
    </xdr:from>
    <xdr:to>
      <xdr:col>5</xdr:col>
      <xdr:colOff>95250</xdr:colOff>
      <xdr:row>40</xdr:row>
      <xdr:rowOff>152400</xdr:rowOff>
    </xdr:to>
    <xdr:sp macro="" textlink="">
      <xdr:nvSpPr>
        <xdr:cNvPr id="5" name="Colchete direito 5"/>
        <xdr:cNvSpPr>
          <a:spLocks/>
        </xdr:cNvSpPr>
      </xdr:nvSpPr>
      <xdr:spPr bwMode="auto">
        <a:xfrm>
          <a:off x="5715000" y="7486650"/>
          <a:ext cx="57150" cy="466725"/>
        </a:xfrm>
        <a:prstGeom prst="rightBracket">
          <a:avLst>
            <a:gd name="adj" fmla="val 792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371475</xdr:colOff>
      <xdr:row>38</xdr:row>
      <xdr:rowOff>133350</xdr:rowOff>
    </xdr:from>
    <xdr:to>
      <xdr:col>1</xdr:col>
      <xdr:colOff>419100</xdr:colOff>
      <xdr:row>41</xdr:row>
      <xdr:rowOff>9525</xdr:rowOff>
    </xdr:to>
    <xdr:sp macro="" textlink="">
      <xdr:nvSpPr>
        <xdr:cNvPr id="6" name="Colchete esquerdo 6"/>
        <xdr:cNvSpPr>
          <a:spLocks/>
        </xdr:cNvSpPr>
      </xdr:nvSpPr>
      <xdr:spPr bwMode="auto">
        <a:xfrm>
          <a:off x="1123950" y="7515225"/>
          <a:ext cx="47625" cy="476250"/>
        </a:xfrm>
        <a:prstGeom prst="leftBracket">
          <a:avLst>
            <a:gd name="adj" fmla="val 80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85725</xdr:colOff>
      <xdr:row>0</xdr:row>
      <xdr:rowOff>102936</xdr:rowOff>
    </xdr:from>
    <xdr:to>
      <xdr:col>2</xdr:col>
      <xdr:colOff>28575</xdr:colOff>
      <xdr:row>6</xdr:row>
      <xdr:rowOff>119063</xdr:rowOff>
    </xdr:to>
    <xdr:pic>
      <xdr:nvPicPr>
        <xdr:cNvPr id="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2936"/>
          <a:ext cx="1790700" cy="11019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showGridLines="0" tabSelected="1" showOutlineSymbols="0" showWhiteSpace="0" view="pageBreakPreview" zoomScale="95" zoomScaleNormal="95" zoomScaleSheetLayoutView="95" workbookViewId="0">
      <selection activeCell="A3" sqref="A3:L3"/>
    </sheetView>
  </sheetViews>
  <sheetFormatPr defaultRowHeight="14.25" x14ac:dyDescent="0.2"/>
  <cols>
    <col min="1" max="2" width="10" style="63" bestFit="1" customWidth="1"/>
    <col min="3" max="3" width="9.25" style="63" customWidth="1"/>
    <col min="4" max="4" width="58.875" style="63" customWidth="1"/>
    <col min="5" max="5" width="8" style="63" bestFit="1" customWidth="1"/>
    <col min="6" max="6" width="11" style="63" customWidth="1"/>
    <col min="7" max="8" width="13" style="63" bestFit="1" customWidth="1"/>
    <col min="9" max="9" width="19.125" style="63" customWidth="1"/>
    <col min="10" max="10" width="16.5" style="63" customWidth="1"/>
    <col min="11" max="11" width="15.625" style="63" customWidth="1"/>
    <col min="12" max="12" width="14.5" style="63" customWidth="1"/>
    <col min="13" max="13" width="5" style="63" customWidth="1"/>
    <col min="14" max="14" width="13" style="63" bestFit="1" customWidth="1"/>
    <col min="15" max="15" width="11.5" style="63" customWidth="1"/>
    <col min="16" max="16" width="9" style="64"/>
    <col min="17" max="16384" width="9" style="63"/>
  </cols>
  <sheetData>
    <row r="1" spans="1:15" ht="15" customHeight="1" x14ac:dyDescent="0.2">
      <c r="A1" s="1"/>
      <c r="B1" s="59"/>
      <c r="C1" s="59"/>
      <c r="D1" s="61" t="s">
        <v>215</v>
      </c>
      <c r="E1" s="135" t="s">
        <v>0</v>
      </c>
      <c r="F1" s="135"/>
      <c r="G1" s="62"/>
      <c r="H1" s="61" t="s">
        <v>1</v>
      </c>
      <c r="I1" s="135" t="s">
        <v>2</v>
      </c>
      <c r="J1" s="135"/>
      <c r="K1" s="135"/>
      <c r="L1" s="136"/>
      <c r="N1" s="64"/>
    </row>
    <row r="2" spans="1:15" ht="80.099999999999994" customHeight="1" x14ac:dyDescent="0.2">
      <c r="A2" s="65"/>
      <c r="B2" s="60"/>
      <c r="C2" s="60"/>
      <c r="D2" s="60" t="s">
        <v>243</v>
      </c>
      <c r="E2" s="133" t="s">
        <v>244</v>
      </c>
      <c r="F2" s="133"/>
      <c r="G2" s="133"/>
      <c r="H2" s="66" t="s">
        <v>3</v>
      </c>
      <c r="I2" s="133" t="s">
        <v>4</v>
      </c>
      <c r="J2" s="133"/>
      <c r="K2" s="133"/>
      <c r="L2" s="134"/>
      <c r="N2" s="64"/>
    </row>
    <row r="3" spans="1:15" ht="26.25" customHeight="1" x14ac:dyDescent="0.3">
      <c r="A3" s="142" t="s">
        <v>255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4"/>
      <c r="N3" s="67" t="s">
        <v>216</v>
      </c>
      <c r="O3" s="68">
        <v>0.1</v>
      </c>
    </row>
    <row r="4" spans="1:15" ht="30" customHeight="1" x14ac:dyDescent="0.2">
      <c r="A4" s="69" t="s">
        <v>5</v>
      </c>
      <c r="B4" s="58" t="s">
        <v>6</v>
      </c>
      <c r="C4" s="69" t="s">
        <v>7</v>
      </c>
      <c r="D4" s="69" t="s">
        <v>8</v>
      </c>
      <c r="E4" s="70" t="s">
        <v>9</v>
      </c>
      <c r="F4" s="58" t="s">
        <v>10</v>
      </c>
      <c r="G4" s="58" t="s">
        <v>11</v>
      </c>
      <c r="H4" s="58" t="s">
        <v>12</v>
      </c>
      <c r="I4" s="58" t="s">
        <v>181</v>
      </c>
      <c r="J4" s="58" t="s">
        <v>217</v>
      </c>
      <c r="K4" s="58" t="s">
        <v>13</v>
      </c>
      <c r="L4" s="58" t="s">
        <v>14</v>
      </c>
    </row>
    <row r="5" spans="1:15" ht="30" customHeight="1" x14ac:dyDescent="0.2">
      <c r="A5" s="71">
        <v>1</v>
      </c>
      <c r="B5" s="72"/>
      <c r="C5" s="72"/>
      <c r="D5" s="72" t="s">
        <v>15</v>
      </c>
      <c r="E5" s="72"/>
      <c r="F5" s="73"/>
      <c r="G5" s="72"/>
      <c r="H5" s="72"/>
      <c r="I5" s="74">
        <f t="shared" ref="I5:J5" si="0">SUM(I6:I12)</f>
        <v>0</v>
      </c>
      <c r="J5" s="74">
        <f t="shared" si="0"/>
        <v>0</v>
      </c>
      <c r="K5" s="75">
        <f>SUM(K6:K12)</f>
        <v>0</v>
      </c>
      <c r="L5" s="76" t="e">
        <f>K5/$K$81</f>
        <v>#DIV/0!</v>
      </c>
    </row>
    <row r="6" spans="1:15" ht="25.5" x14ac:dyDescent="0.2">
      <c r="A6" s="77" t="s">
        <v>16</v>
      </c>
      <c r="B6" s="78" t="s">
        <v>17</v>
      </c>
      <c r="C6" s="79" t="s">
        <v>18</v>
      </c>
      <c r="D6" s="79" t="s">
        <v>180</v>
      </c>
      <c r="E6" s="80" t="s">
        <v>19</v>
      </c>
      <c r="F6" s="81">
        <v>5</v>
      </c>
      <c r="G6" s="82">
        <v>0</v>
      </c>
      <c r="H6" s="82">
        <f t="shared" ref="H6:H12" si="1">ROUND(G6+G6*$H$2,2)</f>
        <v>0</v>
      </c>
      <c r="I6" s="83">
        <f t="shared" ref="I6:I12" si="2">K6-J6</f>
        <v>0</v>
      </c>
      <c r="J6" s="83">
        <f t="shared" ref="J6:J12" si="3">ROUNDUP(K6*$O$3,2)</f>
        <v>0</v>
      </c>
      <c r="K6" s="82">
        <f t="shared" ref="K6:K12" si="4">ROUND(F6*H6,2)</f>
        <v>0</v>
      </c>
      <c r="L6" s="84"/>
    </row>
    <row r="7" spans="1:15" ht="24" customHeight="1" x14ac:dyDescent="0.2">
      <c r="A7" s="77" t="s">
        <v>150</v>
      </c>
      <c r="B7" s="78">
        <v>70000002</v>
      </c>
      <c r="C7" s="79" t="s">
        <v>140</v>
      </c>
      <c r="D7" s="79" t="str">
        <f>UPPER("Placa de identificação para obra e placa CETESB")</f>
        <v>PLACA DE IDENTIFICAÇÃO PARA OBRA E PLACA CETESB</v>
      </c>
      <c r="E7" s="80" t="s">
        <v>21</v>
      </c>
      <c r="F7" s="81">
        <v>26.55</v>
      </c>
      <c r="G7" s="82">
        <v>0</v>
      </c>
      <c r="H7" s="82">
        <f t="shared" si="1"/>
        <v>0</v>
      </c>
      <c r="I7" s="83">
        <f t="shared" si="2"/>
        <v>0</v>
      </c>
      <c r="J7" s="83">
        <f t="shared" si="3"/>
        <v>0</v>
      </c>
      <c r="K7" s="82">
        <f t="shared" si="4"/>
        <v>0</v>
      </c>
      <c r="L7" s="84"/>
    </row>
    <row r="8" spans="1:15" ht="39" customHeight="1" x14ac:dyDescent="0.2">
      <c r="A8" s="77" t="s">
        <v>151</v>
      </c>
      <c r="B8" s="78" t="s">
        <v>22</v>
      </c>
      <c r="C8" s="79" t="s">
        <v>18</v>
      </c>
      <c r="D8" s="79" t="s">
        <v>220</v>
      </c>
      <c r="E8" s="80" t="s">
        <v>23</v>
      </c>
      <c r="F8" s="81">
        <v>486.4</v>
      </c>
      <c r="G8" s="82">
        <v>0</v>
      </c>
      <c r="H8" s="82">
        <f t="shared" si="1"/>
        <v>0</v>
      </c>
      <c r="I8" s="83">
        <f t="shared" si="2"/>
        <v>0</v>
      </c>
      <c r="J8" s="83">
        <f t="shared" si="3"/>
        <v>0</v>
      </c>
      <c r="K8" s="82">
        <f t="shared" si="4"/>
        <v>0</v>
      </c>
      <c r="L8" s="84"/>
    </row>
    <row r="9" spans="1:15" ht="39" customHeight="1" x14ac:dyDescent="0.2">
      <c r="A9" s="77" t="s">
        <v>152</v>
      </c>
      <c r="B9" s="78" t="s">
        <v>24</v>
      </c>
      <c r="C9" s="79" t="s">
        <v>18</v>
      </c>
      <c r="D9" s="79" t="s">
        <v>245</v>
      </c>
      <c r="E9" s="80" t="s">
        <v>21</v>
      </c>
      <c r="F9" s="81">
        <v>481.7</v>
      </c>
      <c r="G9" s="82">
        <v>0</v>
      </c>
      <c r="H9" s="82">
        <f t="shared" si="1"/>
        <v>0</v>
      </c>
      <c r="I9" s="83">
        <f t="shared" si="2"/>
        <v>0</v>
      </c>
      <c r="J9" s="83">
        <f t="shared" si="3"/>
        <v>0</v>
      </c>
      <c r="K9" s="82">
        <f t="shared" si="4"/>
        <v>0</v>
      </c>
      <c r="L9" s="84"/>
    </row>
    <row r="10" spans="1:15" ht="51.95" customHeight="1" x14ac:dyDescent="0.2">
      <c r="A10" s="77" t="s">
        <v>153</v>
      </c>
      <c r="B10" s="78" t="s">
        <v>25</v>
      </c>
      <c r="C10" s="79" t="s">
        <v>18</v>
      </c>
      <c r="D10" s="79" t="s">
        <v>221</v>
      </c>
      <c r="E10" s="80" t="s">
        <v>23</v>
      </c>
      <c r="F10" s="81">
        <v>96.34</v>
      </c>
      <c r="G10" s="82">
        <v>0</v>
      </c>
      <c r="H10" s="82">
        <f t="shared" si="1"/>
        <v>0</v>
      </c>
      <c r="I10" s="83">
        <f t="shared" si="2"/>
        <v>0</v>
      </c>
      <c r="J10" s="83">
        <f t="shared" si="3"/>
        <v>0</v>
      </c>
      <c r="K10" s="82">
        <f t="shared" si="4"/>
        <v>0</v>
      </c>
      <c r="L10" s="84"/>
    </row>
    <row r="11" spans="1:15" ht="39" customHeight="1" x14ac:dyDescent="0.2">
      <c r="A11" s="77" t="s">
        <v>154</v>
      </c>
      <c r="B11" s="78" t="s">
        <v>26</v>
      </c>
      <c r="C11" s="79" t="s">
        <v>18</v>
      </c>
      <c r="D11" s="79" t="s">
        <v>222</v>
      </c>
      <c r="E11" s="80" t="s">
        <v>27</v>
      </c>
      <c r="F11" s="81">
        <v>963.4</v>
      </c>
      <c r="G11" s="82">
        <v>0</v>
      </c>
      <c r="H11" s="82">
        <f t="shared" si="1"/>
        <v>0</v>
      </c>
      <c r="I11" s="83">
        <f t="shared" si="2"/>
        <v>0</v>
      </c>
      <c r="J11" s="83">
        <f t="shared" si="3"/>
        <v>0</v>
      </c>
      <c r="K11" s="82">
        <f t="shared" si="4"/>
        <v>0</v>
      </c>
      <c r="L11" s="84"/>
    </row>
    <row r="12" spans="1:15" ht="39" customHeight="1" x14ac:dyDescent="0.2">
      <c r="A12" s="77" t="s">
        <v>155</v>
      </c>
      <c r="B12" s="78">
        <v>37525</v>
      </c>
      <c r="C12" s="79" t="s">
        <v>18</v>
      </c>
      <c r="D12" s="79" t="s">
        <v>141</v>
      </c>
      <c r="E12" s="80" t="s">
        <v>31</v>
      </c>
      <c r="F12" s="81">
        <v>50</v>
      </c>
      <c r="G12" s="82">
        <v>0</v>
      </c>
      <c r="H12" s="82">
        <f t="shared" si="1"/>
        <v>0</v>
      </c>
      <c r="I12" s="83">
        <f t="shared" si="2"/>
        <v>0</v>
      </c>
      <c r="J12" s="83">
        <f t="shared" si="3"/>
        <v>0</v>
      </c>
      <c r="K12" s="82">
        <f t="shared" si="4"/>
        <v>0</v>
      </c>
      <c r="L12" s="84"/>
    </row>
    <row r="13" spans="1:15" ht="30" customHeight="1" x14ac:dyDescent="0.2">
      <c r="A13" s="85">
        <v>2</v>
      </c>
      <c r="B13" s="86"/>
      <c r="C13" s="86"/>
      <c r="D13" s="86" t="s">
        <v>28</v>
      </c>
      <c r="E13" s="86"/>
      <c r="F13" s="87"/>
      <c r="G13" s="86"/>
      <c r="H13" s="86"/>
      <c r="I13" s="88">
        <f t="shared" ref="I13:J13" si="5">SUM(I14:I17)</f>
        <v>0</v>
      </c>
      <c r="J13" s="88">
        <f t="shared" si="5"/>
        <v>0</v>
      </c>
      <c r="K13" s="89">
        <f>SUM(K14:K17)</f>
        <v>0</v>
      </c>
      <c r="L13" s="90" t="e">
        <f>K13/$K$81</f>
        <v>#DIV/0!</v>
      </c>
    </row>
    <row r="14" spans="1:15" ht="39" customHeight="1" x14ac:dyDescent="0.2">
      <c r="A14" s="77" t="s">
        <v>29</v>
      </c>
      <c r="B14" s="78">
        <v>70010003</v>
      </c>
      <c r="C14" s="79" t="s">
        <v>140</v>
      </c>
      <c r="D14" s="79" t="s">
        <v>30</v>
      </c>
      <c r="E14" s="80" t="s">
        <v>31</v>
      </c>
      <c r="F14" s="81">
        <v>48.17</v>
      </c>
      <c r="G14" s="82">
        <v>0</v>
      </c>
      <c r="H14" s="82">
        <f>ROUND(G14+G14*$H$2,2)</f>
        <v>0</v>
      </c>
      <c r="I14" s="83">
        <f t="shared" ref="I14:I17" si="6">K14-J14</f>
        <v>0</v>
      </c>
      <c r="J14" s="83">
        <f t="shared" ref="J14:J17" si="7">ROUNDUP(K14*$O$3,2)</f>
        <v>0</v>
      </c>
      <c r="K14" s="82">
        <f>ROUND(F14*H14,2)</f>
        <v>0</v>
      </c>
      <c r="L14" s="84"/>
    </row>
    <row r="15" spans="1:15" ht="24" customHeight="1" x14ac:dyDescent="0.2">
      <c r="A15" s="77" t="s">
        <v>147</v>
      </c>
      <c r="B15" s="78" t="s">
        <v>32</v>
      </c>
      <c r="C15" s="79" t="s">
        <v>33</v>
      </c>
      <c r="D15" s="79" t="s">
        <v>223</v>
      </c>
      <c r="E15" s="80" t="s">
        <v>21</v>
      </c>
      <c r="F15" s="81">
        <v>12.87</v>
      </c>
      <c r="G15" s="82">
        <v>0</v>
      </c>
      <c r="H15" s="82">
        <f>ROUND(G15+G15*$H$2,2)</f>
        <v>0</v>
      </c>
      <c r="I15" s="83">
        <f t="shared" si="6"/>
        <v>0</v>
      </c>
      <c r="J15" s="83">
        <f t="shared" si="7"/>
        <v>0</v>
      </c>
      <c r="K15" s="82">
        <f>ROUND(F15*H15,2)</f>
        <v>0</v>
      </c>
      <c r="L15" s="84"/>
    </row>
    <row r="16" spans="1:15" ht="26.1" customHeight="1" x14ac:dyDescent="0.2">
      <c r="A16" s="77" t="s">
        <v>148</v>
      </c>
      <c r="B16" s="78" t="s">
        <v>34</v>
      </c>
      <c r="C16" s="79" t="s">
        <v>33</v>
      </c>
      <c r="D16" s="79" t="s">
        <v>242</v>
      </c>
      <c r="E16" s="80" t="s">
        <v>21</v>
      </c>
      <c r="F16" s="81">
        <v>64</v>
      </c>
      <c r="G16" s="82">
        <v>0</v>
      </c>
      <c r="H16" s="82">
        <f>ROUND(G16+G16*$H$2,2)</f>
        <v>0</v>
      </c>
      <c r="I16" s="83">
        <f t="shared" si="6"/>
        <v>0</v>
      </c>
      <c r="J16" s="83">
        <f t="shared" si="7"/>
        <v>0</v>
      </c>
      <c r="K16" s="82">
        <f>ROUND(F16*H16,2)</f>
        <v>0</v>
      </c>
      <c r="L16" s="84"/>
    </row>
    <row r="17" spans="1:12" ht="24" customHeight="1" x14ac:dyDescent="0.2">
      <c r="A17" s="77" t="s">
        <v>149</v>
      </c>
      <c r="B17" s="78" t="s">
        <v>35</v>
      </c>
      <c r="C17" s="79" t="s">
        <v>20</v>
      </c>
      <c r="D17" s="79" t="s">
        <v>224</v>
      </c>
      <c r="E17" s="80" t="s">
        <v>36</v>
      </c>
      <c r="F17" s="81">
        <v>1</v>
      </c>
      <c r="G17" s="82">
        <v>0</v>
      </c>
      <c r="H17" s="82">
        <f>ROUND(G17+G17*$H$2,2)</f>
        <v>0</v>
      </c>
      <c r="I17" s="83">
        <f t="shared" si="6"/>
        <v>0</v>
      </c>
      <c r="J17" s="83">
        <f t="shared" si="7"/>
        <v>0</v>
      </c>
      <c r="K17" s="82">
        <f>ROUND(F17*H17,2)</f>
        <v>0</v>
      </c>
      <c r="L17" s="84"/>
    </row>
    <row r="18" spans="1:12" ht="30" customHeight="1" x14ac:dyDescent="0.2">
      <c r="A18" s="85">
        <v>3</v>
      </c>
      <c r="B18" s="86"/>
      <c r="C18" s="86"/>
      <c r="D18" s="86" t="s">
        <v>179</v>
      </c>
      <c r="E18" s="86"/>
      <c r="F18" s="87"/>
      <c r="G18" s="86"/>
      <c r="H18" s="86"/>
      <c r="I18" s="88">
        <f t="shared" ref="I18:J18" si="8">SUM(I19:I44)</f>
        <v>0</v>
      </c>
      <c r="J18" s="88">
        <f t="shared" si="8"/>
        <v>0</v>
      </c>
      <c r="K18" s="89">
        <f>SUM(K19:K44)</f>
        <v>0</v>
      </c>
      <c r="L18" s="90" t="e">
        <f>K18/$K$81</f>
        <v>#DIV/0!</v>
      </c>
    </row>
    <row r="19" spans="1:12" ht="24" customHeight="1" x14ac:dyDescent="0.2">
      <c r="A19" s="77"/>
      <c r="B19" s="78"/>
      <c r="C19" s="79"/>
      <c r="D19" s="91" t="s">
        <v>183</v>
      </c>
      <c r="E19" s="80"/>
      <c r="F19" s="81"/>
      <c r="G19" s="82"/>
      <c r="H19" s="82"/>
      <c r="I19" s="83"/>
      <c r="J19" s="83"/>
      <c r="K19" s="82"/>
      <c r="L19" s="84"/>
    </row>
    <row r="20" spans="1:12" ht="51" x14ac:dyDescent="0.2">
      <c r="A20" s="77" t="s">
        <v>160</v>
      </c>
      <c r="B20" s="78" t="s">
        <v>37</v>
      </c>
      <c r="C20" s="79" t="s">
        <v>18</v>
      </c>
      <c r="D20" s="79" t="s">
        <v>38</v>
      </c>
      <c r="E20" s="80" t="s">
        <v>23</v>
      </c>
      <c r="F20" s="81">
        <v>118.6</v>
      </c>
      <c r="G20" s="82">
        <v>0</v>
      </c>
      <c r="H20" s="82">
        <f>ROUND(G20+G20*$H$2,2)</f>
        <v>0</v>
      </c>
      <c r="I20" s="83">
        <f t="shared" ref="I20:I24" si="9">K20-J20</f>
        <v>0</v>
      </c>
      <c r="J20" s="83">
        <f t="shared" ref="J20:J24" si="10">ROUNDUP(K20*$O$3,2)</f>
        <v>0</v>
      </c>
      <c r="K20" s="82">
        <f>ROUND(F20*H20,2)</f>
        <v>0</v>
      </c>
      <c r="L20" s="84"/>
    </row>
    <row r="21" spans="1:12" ht="26.1" customHeight="1" x14ac:dyDescent="0.2">
      <c r="A21" s="77" t="s">
        <v>161</v>
      </c>
      <c r="B21" s="78" t="s">
        <v>41</v>
      </c>
      <c r="C21" s="79" t="s">
        <v>20</v>
      </c>
      <c r="D21" s="79" t="str">
        <f>UPPER("Escoramento com estacas pranchas metálicas - profundidade até 4 m")</f>
        <v>ESCORAMENTO COM ESTACAS PRANCHAS METÁLICAS - PROFUNDIDADE ATÉ 4 M</v>
      </c>
      <c r="E21" s="80" t="s">
        <v>21</v>
      </c>
      <c r="F21" s="81">
        <v>56.9</v>
      </c>
      <c r="G21" s="82">
        <v>0</v>
      </c>
      <c r="H21" s="82">
        <f>ROUND(G21+G21*$H$2,2)</f>
        <v>0</v>
      </c>
      <c r="I21" s="83">
        <f t="shared" si="9"/>
        <v>0</v>
      </c>
      <c r="J21" s="83">
        <f t="shared" si="10"/>
        <v>0</v>
      </c>
      <c r="K21" s="82">
        <f>ROUND(F21*H21,2)</f>
        <v>0</v>
      </c>
      <c r="L21" s="84"/>
    </row>
    <row r="22" spans="1:12" ht="26.1" customHeight="1" x14ac:dyDescent="0.2">
      <c r="A22" s="77" t="s">
        <v>162</v>
      </c>
      <c r="B22" s="78" t="s">
        <v>39</v>
      </c>
      <c r="C22" s="79" t="s">
        <v>18</v>
      </c>
      <c r="D22" s="79" t="s">
        <v>40</v>
      </c>
      <c r="E22" s="80" t="s">
        <v>21</v>
      </c>
      <c r="F22" s="81">
        <v>64</v>
      </c>
      <c r="G22" s="82">
        <v>0</v>
      </c>
      <c r="H22" s="82">
        <f>ROUND(G22+G22*$H$2,2)</f>
        <v>0</v>
      </c>
      <c r="I22" s="83">
        <f t="shared" si="9"/>
        <v>0</v>
      </c>
      <c r="J22" s="83">
        <f t="shared" si="10"/>
        <v>0</v>
      </c>
      <c r="K22" s="82">
        <f>ROUND(F22*H22,2)</f>
        <v>0</v>
      </c>
      <c r="L22" s="84"/>
    </row>
    <row r="23" spans="1:12" ht="26.1" customHeight="1" x14ac:dyDescent="0.2">
      <c r="A23" s="77"/>
      <c r="B23" s="78"/>
      <c r="C23" s="79"/>
      <c r="D23" s="91" t="s">
        <v>184</v>
      </c>
      <c r="E23" s="80"/>
      <c r="F23" s="81"/>
      <c r="G23" s="82"/>
      <c r="H23" s="82"/>
      <c r="I23" s="83">
        <f t="shared" si="9"/>
        <v>0</v>
      </c>
      <c r="J23" s="83">
        <f t="shared" si="10"/>
        <v>0</v>
      </c>
      <c r="K23" s="82"/>
      <c r="L23" s="84"/>
    </row>
    <row r="24" spans="1:12" ht="24" customHeight="1" x14ac:dyDescent="0.2">
      <c r="A24" s="77" t="s">
        <v>158</v>
      </c>
      <c r="B24" s="78">
        <v>100889</v>
      </c>
      <c r="C24" s="79" t="s">
        <v>18</v>
      </c>
      <c r="D24" s="79" t="s">
        <v>182</v>
      </c>
      <c r="E24" s="80" t="s">
        <v>45</v>
      </c>
      <c r="F24" s="81">
        <f>4*4*(3)*(62)</f>
        <v>2976</v>
      </c>
      <c r="G24" s="82">
        <v>0</v>
      </c>
      <c r="H24" s="82">
        <f>ROUND(G24+G24*$H$2,2)</f>
        <v>0</v>
      </c>
      <c r="I24" s="83">
        <f t="shared" si="9"/>
        <v>0</v>
      </c>
      <c r="J24" s="83">
        <f t="shared" si="10"/>
        <v>0</v>
      </c>
      <c r="K24" s="82">
        <f>ROUND(F24*H24,2)</f>
        <v>0</v>
      </c>
      <c r="L24" s="84"/>
    </row>
    <row r="25" spans="1:12" ht="26.1" customHeight="1" x14ac:dyDescent="0.2">
      <c r="A25" s="77"/>
      <c r="D25" s="91" t="s">
        <v>185</v>
      </c>
      <c r="G25" s="130"/>
      <c r="H25" s="130">
        <f>ROUND(G25+G25*$H$2,2)</f>
        <v>0</v>
      </c>
      <c r="L25" s="84"/>
    </row>
    <row r="26" spans="1:12" ht="38.25" x14ac:dyDescent="0.2">
      <c r="A26" s="77" t="s">
        <v>159</v>
      </c>
      <c r="B26" s="78" t="s">
        <v>42</v>
      </c>
      <c r="C26" s="79" t="s">
        <v>18</v>
      </c>
      <c r="D26" s="79" t="s">
        <v>43</v>
      </c>
      <c r="E26" s="80" t="s">
        <v>21</v>
      </c>
      <c r="F26" s="81">
        <v>23</v>
      </c>
      <c r="G26" s="82">
        <v>0</v>
      </c>
      <c r="H26" s="82">
        <f t="shared" ref="H26:H31" si="11">ROUND(G26+G26*$H$2,2)</f>
        <v>0</v>
      </c>
      <c r="I26" s="83">
        <f t="shared" ref="I26:I37" si="12">K26-J26</f>
        <v>0</v>
      </c>
      <c r="J26" s="83">
        <f t="shared" ref="J26:J37" si="13">ROUNDUP(K26*$O$3,2)</f>
        <v>0</v>
      </c>
      <c r="K26" s="82">
        <f t="shared" ref="K26:K31" si="14">ROUND(F26*H26,2)</f>
        <v>0</v>
      </c>
      <c r="L26" s="84"/>
    </row>
    <row r="27" spans="1:12" ht="38.25" x14ac:dyDescent="0.2">
      <c r="A27" s="77" t="s">
        <v>163</v>
      </c>
      <c r="B27" s="78" t="s">
        <v>44</v>
      </c>
      <c r="C27" s="79" t="s">
        <v>18</v>
      </c>
      <c r="D27" s="79" t="s">
        <v>225</v>
      </c>
      <c r="E27" s="80" t="s">
        <v>45</v>
      </c>
      <c r="F27" s="81">
        <v>119.25</v>
      </c>
      <c r="G27" s="82">
        <v>0</v>
      </c>
      <c r="H27" s="82">
        <f t="shared" si="11"/>
        <v>0</v>
      </c>
      <c r="I27" s="83">
        <f t="shared" si="12"/>
        <v>0</v>
      </c>
      <c r="J27" s="83">
        <f t="shared" si="13"/>
        <v>0</v>
      </c>
      <c r="K27" s="82">
        <f t="shared" si="14"/>
        <v>0</v>
      </c>
      <c r="L27" s="84"/>
    </row>
    <row r="28" spans="1:12" ht="38.25" x14ac:dyDescent="0.2">
      <c r="A28" s="77" t="s">
        <v>164</v>
      </c>
      <c r="B28" s="78">
        <v>104920</v>
      </c>
      <c r="C28" s="79" t="s">
        <v>18</v>
      </c>
      <c r="D28" s="79" t="s">
        <v>226</v>
      </c>
      <c r="E28" s="80" t="s">
        <v>45</v>
      </c>
      <c r="F28" s="81">
        <v>143.6</v>
      </c>
      <c r="G28" s="82">
        <v>0</v>
      </c>
      <c r="H28" s="82">
        <f t="shared" si="11"/>
        <v>0</v>
      </c>
      <c r="I28" s="83">
        <f t="shared" si="12"/>
        <v>0</v>
      </c>
      <c r="J28" s="83">
        <f t="shared" si="13"/>
        <v>0</v>
      </c>
      <c r="K28" s="82">
        <f t="shared" si="14"/>
        <v>0</v>
      </c>
      <c r="L28" s="84"/>
    </row>
    <row r="29" spans="1:12" ht="38.25" x14ac:dyDescent="0.2">
      <c r="A29" s="77" t="s">
        <v>165</v>
      </c>
      <c r="B29" s="78" t="s">
        <v>46</v>
      </c>
      <c r="C29" s="79" t="s">
        <v>18</v>
      </c>
      <c r="D29" s="79" t="s">
        <v>227</v>
      </c>
      <c r="E29" s="80" t="s">
        <v>45</v>
      </c>
      <c r="F29" s="81">
        <v>274.7</v>
      </c>
      <c r="G29" s="82">
        <v>0</v>
      </c>
      <c r="H29" s="82">
        <f t="shared" si="11"/>
        <v>0</v>
      </c>
      <c r="I29" s="83">
        <f t="shared" si="12"/>
        <v>0</v>
      </c>
      <c r="J29" s="83">
        <f t="shared" si="13"/>
        <v>0</v>
      </c>
      <c r="K29" s="82">
        <f t="shared" si="14"/>
        <v>0</v>
      </c>
      <c r="L29" s="84"/>
    </row>
    <row r="30" spans="1:12" ht="25.5" x14ac:dyDescent="0.2">
      <c r="A30" s="77" t="s">
        <v>166</v>
      </c>
      <c r="B30" s="78" t="s">
        <v>47</v>
      </c>
      <c r="C30" s="79" t="s">
        <v>20</v>
      </c>
      <c r="D30" s="79" t="s">
        <v>228</v>
      </c>
      <c r="E30" s="80" t="s">
        <v>23</v>
      </c>
      <c r="F30" s="81">
        <v>10.3</v>
      </c>
      <c r="G30" s="82">
        <v>0</v>
      </c>
      <c r="H30" s="82">
        <f t="shared" si="11"/>
        <v>0</v>
      </c>
      <c r="I30" s="83">
        <f t="shared" si="12"/>
        <v>0</v>
      </c>
      <c r="J30" s="83">
        <f t="shared" si="13"/>
        <v>0</v>
      </c>
      <c r="K30" s="82">
        <f t="shared" si="14"/>
        <v>0</v>
      </c>
      <c r="L30" s="84"/>
    </row>
    <row r="31" spans="1:12" ht="25.5" x14ac:dyDescent="0.2">
      <c r="A31" s="77" t="s">
        <v>167</v>
      </c>
      <c r="B31" s="78" t="s">
        <v>48</v>
      </c>
      <c r="C31" s="79" t="s">
        <v>20</v>
      </c>
      <c r="D31" s="79" t="s">
        <v>229</v>
      </c>
      <c r="E31" s="80" t="s">
        <v>23</v>
      </c>
      <c r="F31" s="81">
        <v>10.3</v>
      </c>
      <c r="G31" s="82">
        <v>0</v>
      </c>
      <c r="H31" s="82">
        <f t="shared" si="11"/>
        <v>0</v>
      </c>
      <c r="I31" s="83">
        <f t="shared" si="12"/>
        <v>0</v>
      </c>
      <c r="J31" s="83">
        <f t="shared" si="13"/>
        <v>0</v>
      </c>
      <c r="K31" s="82">
        <f t="shared" si="14"/>
        <v>0</v>
      </c>
      <c r="L31" s="84"/>
    </row>
    <row r="32" spans="1:12" ht="24" customHeight="1" x14ac:dyDescent="0.2">
      <c r="A32" s="77"/>
      <c r="B32" s="78"/>
      <c r="C32" s="79"/>
      <c r="D32" s="91" t="s">
        <v>189</v>
      </c>
      <c r="E32" s="80"/>
      <c r="F32" s="81"/>
      <c r="G32" s="82"/>
      <c r="H32" s="82"/>
      <c r="I32" s="83">
        <f t="shared" si="12"/>
        <v>0</v>
      </c>
      <c r="J32" s="83">
        <f t="shared" si="13"/>
        <v>0</v>
      </c>
      <c r="K32" s="82"/>
      <c r="L32" s="84"/>
    </row>
    <row r="33" spans="1:16" ht="24" customHeight="1" x14ac:dyDescent="0.2">
      <c r="A33" s="77" t="s">
        <v>168</v>
      </c>
      <c r="B33" s="78" t="s">
        <v>53</v>
      </c>
      <c r="C33" s="79" t="s">
        <v>18</v>
      </c>
      <c r="D33" s="79" t="s">
        <v>231</v>
      </c>
      <c r="E33" s="80" t="s">
        <v>21</v>
      </c>
      <c r="F33" s="81">
        <v>1.8</v>
      </c>
      <c r="G33" s="82">
        <v>0</v>
      </c>
      <c r="H33" s="82">
        <f>ROUND(G33+G33*$H$2,2)</f>
        <v>0</v>
      </c>
      <c r="I33" s="83">
        <f t="shared" si="12"/>
        <v>0</v>
      </c>
      <c r="J33" s="83">
        <f t="shared" si="13"/>
        <v>0</v>
      </c>
      <c r="K33" s="82">
        <f>ROUND(F33*H33,2)</f>
        <v>0</v>
      </c>
      <c r="L33" s="84"/>
    </row>
    <row r="34" spans="1:16" ht="24" customHeight="1" x14ac:dyDescent="0.2">
      <c r="A34" s="77" t="s">
        <v>169</v>
      </c>
      <c r="B34" s="78" t="s">
        <v>54</v>
      </c>
      <c r="C34" s="79" t="s">
        <v>18</v>
      </c>
      <c r="D34" s="79" t="s">
        <v>232</v>
      </c>
      <c r="E34" s="80" t="s">
        <v>45</v>
      </c>
      <c r="F34" s="81">
        <v>0.74</v>
      </c>
      <c r="G34" s="82">
        <v>0</v>
      </c>
      <c r="H34" s="82">
        <f>ROUND(G34+G34*$H$2,2)</f>
        <v>0</v>
      </c>
      <c r="I34" s="83">
        <f t="shared" si="12"/>
        <v>0</v>
      </c>
      <c r="J34" s="83">
        <f t="shared" si="13"/>
        <v>0</v>
      </c>
      <c r="K34" s="82">
        <f>ROUND(F34*H34,2)</f>
        <v>0</v>
      </c>
      <c r="L34" s="84"/>
    </row>
    <row r="35" spans="1:16" ht="25.5" x14ac:dyDescent="0.2">
      <c r="A35" s="77" t="s">
        <v>170</v>
      </c>
      <c r="B35" s="78" t="s">
        <v>55</v>
      </c>
      <c r="C35" s="79" t="s">
        <v>18</v>
      </c>
      <c r="D35" s="79" t="s">
        <v>233</v>
      </c>
      <c r="E35" s="80" t="s">
        <v>45</v>
      </c>
      <c r="F35" s="81">
        <v>27.76</v>
      </c>
      <c r="G35" s="82">
        <v>0</v>
      </c>
      <c r="H35" s="82">
        <f>ROUND(G35+G35*$H$2,2)</f>
        <v>0</v>
      </c>
      <c r="I35" s="83">
        <f t="shared" si="12"/>
        <v>0</v>
      </c>
      <c r="J35" s="83">
        <f t="shared" si="13"/>
        <v>0</v>
      </c>
      <c r="K35" s="82">
        <f>ROUND(F35*H35,2)</f>
        <v>0</v>
      </c>
      <c r="L35" s="84"/>
    </row>
    <row r="36" spans="1:16" ht="24" customHeight="1" x14ac:dyDescent="0.2">
      <c r="A36" s="77" t="s">
        <v>171</v>
      </c>
      <c r="B36" s="78" t="s">
        <v>47</v>
      </c>
      <c r="C36" s="79" t="s">
        <v>20</v>
      </c>
      <c r="D36" s="79" t="s">
        <v>234</v>
      </c>
      <c r="E36" s="80" t="s">
        <v>23</v>
      </c>
      <c r="F36" s="81">
        <v>0.7</v>
      </c>
      <c r="G36" s="82">
        <v>0</v>
      </c>
      <c r="H36" s="82">
        <f>ROUND(G36+G36*$H$2,2)</f>
        <v>0</v>
      </c>
      <c r="I36" s="83">
        <f t="shared" si="12"/>
        <v>0</v>
      </c>
      <c r="J36" s="83">
        <f t="shared" si="13"/>
        <v>0</v>
      </c>
      <c r="K36" s="82">
        <f>ROUND(F36*H36,2)</f>
        <v>0</v>
      </c>
      <c r="L36" s="84"/>
    </row>
    <row r="37" spans="1:16" ht="25.5" x14ac:dyDescent="0.2">
      <c r="A37" s="77" t="s">
        <v>172</v>
      </c>
      <c r="B37" s="78" t="s">
        <v>48</v>
      </c>
      <c r="C37" s="79" t="s">
        <v>20</v>
      </c>
      <c r="D37" s="79" t="s">
        <v>235</v>
      </c>
      <c r="E37" s="80" t="s">
        <v>23</v>
      </c>
      <c r="F37" s="81">
        <v>0.7</v>
      </c>
      <c r="G37" s="82">
        <v>0</v>
      </c>
      <c r="H37" s="82">
        <f>ROUND(G37+G37*$H$2,2)</f>
        <v>0</v>
      </c>
      <c r="I37" s="83">
        <f t="shared" si="12"/>
        <v>0</v>
      </c>
      <c r="J37" s="83">
        <f t="shared" si="13"/>
        <v>0</v>
      </c>
      <c r="K37" s="82">
        <f>ROUND(F37*H37,2)</f>
        <v>0</v>
      </c>
      <c r="L37" s="84"/>
    </row>
    <row r="38" spans="1:16" ht="24" customHeight="1" x14ac:dyDescent="0.2">
      <c r="A38" s="77"/>
      <c r="B38" s="78"/>
      <c r="C38" s="79"/>
      <c r="D38" s="91" t="s">
        <v>186</v>
      </c>
      <c r="E38" s="80"/>
      <c r="F38" s="81"/>
      <c r="G38" s="82"/>
      <c r="H38" s="82"/>
      <c r="I38" s="83"/>
      <c r="J38" s="83"/>
      <c r="K38" s="82"/>
      <c r="L38" s="84"/>
    </row>
    <row r="39" spans="1:16" ht="38.25" x14ac:dyDescent="0.2">
      <c r="A39" s="77" t="s">
        <v>173</v>
      </c>
      <c r="B39" s="78" t="s">
        <v>49</v>
      </c>
      <c r="C39" s="79" t="s">
        <v>18</v>
      </c>
      <c r="D39" s="79" t="s">
        <v>236</v>
      </c>
      <c r="E39" s="80" t="s">
        <v>21</v>
      </c>
      <c r="F39" s="81">
        <v>53.9</v>
      </c>
      <c r="G39" s="82">
        <v>0</v>
      </c>
      <c r="H39" s="82">
        <f t="shared" ref="H39:H44" si="15">ROUND(G39+G39*$H$2,2)</f>
        <v>0</v>
      </c>
      <c r="I39" s="83">
        <f t="shared" ref="I39:I44" si="16">K39-J39</f>
        <v>0</v>
      </c>
      <c r="J39" s="83">
        <f t="shared" ref="J39:J44" si="17">ROUNDUP(K39*$O$3,2)</f>
        <v>0</v>
      </c>
      <c r="K39" s="82">
        <f t="shared" ref="K39:K44" si="18">ROUND(F39*H39,2)</f>
        <v>0</v>
      </c>
      <c r="L39" s="84"/>
    </row>
    <row r="40" spans="1:16" ht="38.25" x14ac:dyDescent="0.2">
      <c r="A40" s="77" t="s">
        <v>174</v>
      </c>
      <c r="B40" s="78" t="s">
        <v>50</v>
      </c>
      <c r="C40" s="79" t="s">
        <v>18</v>
      </c>
      <c r="D40" s="79" t="s">
        <v>237</v>
      </c>
      <c r="E40" s="80" t="s">
        <v>45</v>
      </c>
      <c r="F40" s="81">
        <v>3.39</v>
      </c>
      <c r="G40" s="82">
        <v>0</v>
      </c>
      <c r="H40" s="82">
        <f t="shared" si="15"/>
        <v>0</v>
      </c>
      <c r="I40" s="83">
        <f t="shared" si="16"/>
        <v>0</v>
      </c>
      <c r="J40" s="83">
        <f t="shared" si="17"/>
        <v>0</v>
      </c>
      <c r="K40" s="82">
        <f t="shared" si="18"/>
        <v>0</v>
      </c>
      <c r="L40" s="84"/>
    </row>
    <row r="41" spans="1:16" ht="38.25" x14ac:dyDescent="0.2">
      <c r="A41" s="77" t="s">
        <v>175</v>
      </c>
      <c r="B41" s="78" t="s">
        <v>51</v>
      </c>
      <c r="C41" s="79" t="s">
        <v>18</v>
      </c>
      <c r="D41" s="79" t="s">
        <v>238</v>
      </c>
      <c r="E41" s="80" t="s">
        <v>45</v>
      </c>
      <c r="F41" s="81">
        <v>121.52</v>
      </c>
      <c r="G41" s="82">
        <v>0</v>
      </c>
      <c r="H41" s="82">
        <f t="shared" si="15"/>
        <v>0</v>
      </c>
      <c r="I41" s="83">
        <f t="shared" si="16"/>
        <v>0</v>
      </c>
      <c r="J41" s="83">
        <f t="shared" si="17"/>
        <v>0</v>
      </c>
      <c r="K41" s="82">
        <f t="shared" si="18"/>
        <v>0</v>
      </c>
      <c r="L41" s="84"/>
    </row>
    <row r="42" spans="1:16" ht="38.25" x14ac:dyDescent="0.2">
      <c r="A42" s="77" t="s">
        <v>176</v>
      </c>
      <c r="B42" s="78" t="s">
        <v>52</v>
      </c>
      <c r="C42" s="79" t="s">
        <v>18</v>
      </c>
      <c r="D42" s="79" t="s">
        <v>239</v>
      </c>
      <c r="E42" s="80" t="s">
        <v>45</v>
      </c>
      <c r="F42" s="81">
        <v>375.56</v>
      </c>
      <c r="G42" s="82">
        <v>0</v>
      </c>
      <c r="H42" s="82">
        <f t="shared" si="15"/>
        <v>0</v>
      </c>
      <c r="I42" s="83">
        <f t="shared" si="16"/>
        <v>0</v>
      </c>
      <c r="J42" s="83">
        <f t="shared" si="17"/>
        <v>0</v>
      </c>
      <c r="K42" s="82">
        <f t="shared" si="18"/>
        <v>0</v>
      </c>
      <c r="L42" s="84"/>
    </row>
    <row r="43" spans="1:16" ht="25.5" x14ac:dyDescent="0.2">
      <c r="A43" s="77" t="s">
        <v>177</v>
      </c>
      <c r="B43" s="78" t="s">
        <v>47</v>
      </c>
      <c r="C43" s="79" t="s">
        <v>20</v>
      </c>
      <c r="D43" s="79" t="s">
        <v>240</v>
      </c>
      <c r="E43" s="80" t="s">
        <v>23</v>
      </c>
      <c r="F43" s="81">
        <v>7.7</v>
      </c>
      <c r="G43" s="82">
        <v>0</v>
      </c>
      <c r="H43" s="82">
        <f t="shared" si="15"/>
        <v>0</v>
      </c>
      <c r="I43" s="83">
        <f t="shared" si="16"/>
        <v>0</v>
      </c>
      <c r="J43" s="83">
        <f t="shared" si="17"/>
        <v>0</v>
      </c>
      <c r="K43" s="82">
        <f t="shared" si="18"/>
        <v>0</v>
      </c>
      <c r="L43" s="84"/>
    </row>
    <row r="44" spans="1:16" ht="25.5" x14ac:dyDescent="0.2">
      <c r="A44" s="77" t="s">
        <v>178</v>
      </c>
      <c r="B44" s="78" t="s">
        <v>48</v>
      </c>
      <c r="C44" s="79" t="s">
        <v>20</v>
      </c>
      <c r="D44" s="79" t="s">
        <v>241</v>
      </c>
      <c r="E44" s="80" t="s">
        <v>23</v>
      </c>
      <c r="F44" s="81">
        <v>7.7</v>
      </c>
      <c r="G44" s="82">
        <v>0</v>
      </c>
      <c r="H44" s="82">
        <f t="shared" si="15"/>
        <v>0</v>
      </c>
      <c r="I44" s="83">
        <f t="shared" si="16"/>
        <v>0</v>
      </c>
      <c r="J44" s="83">
        <f t="shared" si="17"/>
        <v>0</v>
      </c>
      <c r="K44" s="82">
        <f t="shared" si="18"/>
        <v>0</v>
      </c>
      <c r="L44" s="84"/>
    </row>
    <row r="45" spans="1:16" ht="30" customHeight="1" x14ac:dyDescent="0.2">
      <c r="A45" s="85">
        <v>4</v>
      </c>
      <c r="B45" s="86"/>
      <c r="C45" s="86"/>
      <c r="D45" s="86" t="s">
        <v>56</v>
      </c>
      <c r="E45" s="86"/>
      <c r="F45" s="87"/>
      <c r="G45" s="86"/>
      <c r="H45" s="86"/>
      <c r="I45" s="88">
        <f t="shared" ref="I45:J45" si="19">SUM(I46:I46)</f>
        <v>0</v>
      </c>
      <c r="J45" s="88">
        <f t="shared" si="19"/>
        <v>0</v>
      </c>
      <c r="K45" s="89">
        <f>SUM(K46:K46)</f>
        <v>0</v>
      </c>
      <c r="L45" s="90" t="e">
        <f>K45/$K$81</f>
        <v>#DIV/0!</v>
      </c>
    </row>
    <row r="46" spans="1:16" ht="51.95" customHeight="1" x14ac:dyDescent="0.2">
      <c r="A46" s="77" t="s">
        <v>57</v>
      </c>
      <c r="B46" s="78" t="s">
        <v>58</v>
      </c>
      <c r="C46" s="79" t="s">
        <v>18</v>
      </c>
      <c r="D46" s="79" t="s">
        <v>59</v>
      </c>
      <c r="E46" s="80" t="s">
        <v>23</v>
      </c>
      <c r="F46" s="81">
        <v>160</v>
      </c>
      <c r="G46" s="82">
        <v>0</v>
      </c>
      <c r="H46" s="82">
        <f>ROUND(G46+G46*$H$2,2)</f>
        <v>0</v>
      </c>
      <c r="I46" s="83">
        <f>K46-J46</f>
        <v>0</v>
      </c>
      <c r="J46" s="83">
        <f>ROUNDUP(K46*$O$3,2)</f>
        <v>0</v>
      </c>
      <c r="K46" s="82">
        <f>ROUND(F46*H46,2)</f>
        <v>0</v>
      </c>
      <c r="L46" s="84"/>
    </row>
    <row r="47" spans="1:16" ht="30" customHeight="1" x14ac:dyDescent="0.2">
      <c r="A47" s="85">
        <v>5</v>
      </c>
      <c r="B47" s="86"/>
      <c r="C47" s="86"/>
      <c r="D47" s="86" t="s">
        <v>60</v>
      </c>
      <c r="E47" s="86"/>
      <c r="F47" s="87"/>
      <c r="G47" s="86"/>
      <c r="H47" s="86"/>
      <c r="I47" s="88">
        <f t="shared" ref="I47:J47" si="20">SUM(I48:I49)</f>
        <v>0</v>
      </c>
      <c r="J47" s="88">
        <f t="shared" si="20"/>
        <v>0</v>
      </c>
      <c r="K47" s="89">
        <f>SUM(K48:K49)</f>
        <v>0</v>
      </c>
      <c r="L47" s="90" t="e">
        <f>K47/$K$81</f>
        <v>#DIV/0!</v>
      </c>
    </row>
    <row r="48" spans="1:16" ht="65.099999999999994" customHeight="1" x14ac:dyDescent="0.2">
      <c r="A48" s="77" t="s">
        <v>61</v>
      </c>
      <c r="B48" s="78" t="s">
        <v>62</v>
      </c>
      <c r="C48" s="79" t="s">
        <v>18</v>
      </c>
      <c r="D48" s="79" t="s">
        <v>63</v>
      </c>
      <c r="E48" s="80" t="s">
        <v>23</v>
      </c>
      <c r="F48" s="81">
        <v>5.13</v>
      </c>
      <c r="G48" s="82">
        <v>0</v>
      </c>
      <c r="H48" s="82">
        <f>ROUND(G48+G48*$H$2,2)</f>
        <v>0</v>
      </c>
      <c r="I48" s="83">
        <f t="shared" ref="I48:I49" si="21">K48-J48</f>
        <v>0</v>
      </c>
      <c r="J48" s="83">
        <f t="shared" ref="J48:J49" si="22">ROUNDUP(K48*$O$3,2)</f>
        <v>0</v>
      </c>
      <c r="K48" s="82">
        <f>ROUND(F48*H48,2)</f>
        <v>0</v>
      </c>
      <c r="L48" s="84"/>
      <c r="P48" s="63"/>
    </row>
    <row r="49" spans="1:16" ht="26.1" customHeight="1" x14ac:dyDescent="0.2">
      <c r="A49" s="77" t="s">
        <v>64</v>
      </c>
      <c r="B49" s="78">
        <v>101616</v>
      </c>
      <c r="C49" s="79" t="s">
        <v>18</v>
      </c>
      <c r="D49" s="79" t="s">
        <v>65</v>
      </c>
      <c r="E49" s="80" t="s">
        <v>21</v>
      </c>
      <c r="F49" s="81">
        <v>12.82</v>
      </c>
      <c r="G49" s="82">
        <v>0</v>
      </c>
      <c r="H49" s="82">
        <f>ROUND(G49+G49*$H$2,2)</f>
        <v>0</v>
      </c>
      <c r="I49" s="83">
        <f t="shared" si="21"/>
        <v>0</v>
      </c>
      <c r="J49" s="83">
        <f t="shared" si="22"/>
        <v>0</v>
      </c>
      <c r="K49" s="82">
        <f>ROUND(F49*H49,2)</f>
        <v>0</v>
      </c>
      <c r="L49" s="84"/>
      <c r="P49" s="63"/>
    </row>
    <row r="50" spans="1:16" ht="30" customHeight="1" x14ac:dyDescent="0.2">
      <c r="A50" s="85">
        <v>6</v>
      </c>
      <c r="B50" s="86"/>
      <c r="C50" s="86"/>
      <c r="D50" s="86" t="s">
        <v>66</v>
      </c>
      <c r="E50" s="86"/>
      <c r="F50" s="87"/>
      <c r="G50" s="86"/>
      <c r="H50" s="86"/>
      <c r="I50" s="88">
        <f t="shared" ref="I50:J50" si="23">SUM(I51:I62)</f>
        <v>0</v>
      </c>
      <c r="J50" s="88">
        <f t="shared" si="23"/>
        <v>0</v>
      </c>
      <c r="K50" s="89">
        <f>SUM(K51:K62)</f>
        <v>0</v>
      </c>
      <c r="L50" s="90" t="e">
        <f>K50/$K$81</f>
        <v>#DIV/0!</v>
      </c>
    </row>
    <row r="51" spans="1:16" ht="24" customHeight="1" x14ac:dyDescent="0.2">
      <c r="A51" s="77"/>
      <c r="B51" s="78"/>
      <c r="C51" s="79"/>
      <c r="D51" s="91" t="s">
        <v>198</v>
      </c>
      <c r="E51" s="80"/>
      <c r="F51" s="81"/>
      <c r="G51" s="82"/>
      <c r="H51" s="82"/>
      <c r="I51" s="83"/>
      <c r="J51" s="83"/>
      <c r="K51" s="82"/>
      <c r="L51" s="84"/>
    </row>
    <row r="52" spans="1:16" ht="38.25" x14ac:dyDescent="0.2">
      <c r="A52" s="77" t="s">
        <v>194</v>
      </c>
      <c r="B52" s="78" t="s">
        <v>67</v>
      </c>
      <c r="C52" s="79" t="s">
        <v>18</v>
      </c>
      <c r="D52" s="79" t="s">
        <v>192</v>
      </c>
      <c r="E52" s="80" t="s">
        <v>68</v>
      </c>
      <c r="F52" s="81">
        <f>F53</f>
        <v>47</v>
      </c>
      <c r="G52" s="82">
        <v>0</v>
      </c>
      <c r="H52" s="82">
        <f>ROUND(G52+G52*$H$2,2)</f>
        <v>0</v>
      </c>
      <c r="I52" s="83">
        <f t="shared" ref="I52:I62" si="24">K52-J52</f>
        <v>0</v>
      </c>
      <c r="J52" s="83">
        <f t="shared" ref="J52:J62" si="25">ROUNDUP(K52*$O$3,2)</f>
        <v>0</v>
      </c>
      <c r="K52" s="82">
        <f>ROUND(F52*H52,2)</f>
        <v>0</v>
      </c>
      <c r="L52" s="84"/>
    </row>
    <row r="53" spans="1:16" ht="38.25" x14ac:dyDescent="0.2">
      <c r="A53" s="77" t="s">
        <v>187</v>
      </c>
      <c r="B53" s="78" t="s">
        <v>139</v>
      </c>
      <c r="C53" s="79" t="s">
        <v>140</v>
      </c>
      <c r="D53" s="79" t="s">
        <v>73</v>
      </c>
      <c r="E53" s="80" t="s">
        <v>31</v>
      </c>
      <c r="F53" s="81">
        <v>47</v>
      </c>
      <c r="G53" s="82">
        <v>0</v>
      </c>
      <c r="H53" s="82">
        <f>ROUND(G53+G53*$H$2,2)</f>
        <v>0</v>
      </c>
      <c r="I53" s="83">
        <f t="shared" si="24"/>
        <v>0</v>
      </c>
      <c r="J53" s="83">
        <f t="shared" si="25"/>
        <v>0</v>
      </c>
      <c r="K53" s="82">
        <f>ROUND(F53*H53,2)</f>
        <v>0</v>
      </c>
      <c r="L53" s="84"/>
    </row>
    <row r="54" spans="1:16" ht="25.5" x14ac:dyDescent="0.2">
      <c r="A54" s="77" t="s">
        <v>193</v>
      </c>
      <c r="B54" s="78" t="s">
        <v>190</v>
      </c>
      <c r="C54" s="79" t="s">
        <v>20</v>
      </c>
      <c r="D54" s="79" t="str">
        <f>UPPER("Fornecimento e montagem de estrutura em aço ASTM-A36, sem pintura")</f>
        <v>FORNECIMENTO E MONTAGEM DE ESTRUTURA EM AÇO ASTM-A36, SEM PINTURA</v>
      </c>
      <c r="E54" s="80" t="s">
        <v>45</v>
      </c>
      <c r="F54" s="110">
        <v>45.28</v>
      </c>
      <c r="G54" s="82">
        <v>0</v>
      </c>
      <c r="H54" s="82">
        <f>ROUND(G54+G54*$H$2,2)</f>
        <v>0</v>
      </c>
      <c r="I54" s="83">
        <f t="shared" si="24"/>
        <v>0</v>
      </c>
      <c r="J54" s="83">
        <f t="shared" si="25"/>
        <v>0</v>
      </c>
      <c r="K54" s="82">
        <f>ROUND(F54*H54,2)</f>
        <v>0</v>
      </c>
      <c r="L54" s="84"/>
    </row>
    <row r="55" spans="1:16" ht="25.5" x14ac:dyDescent="0.2">
      <c r="A55" s="77" t="s">
        <v>196</v>
      </c>
      <c r="B55" s="78">
        <v>70190095</v>
      </c>
      <c r="C55" s="79" t="s">
        <v>140</v>
      </c>
      <c r="D55" s="79" t="s">
        <v>191</v>
      </c>
      <c r="E55" s="80" t="s">
        <v>157</v>
      </c>
      <c r="F55" s="81">
        <v>10</v>
      </c>
      <c r="G55" s="82">
        <v>0</v>
      </c>
      <c r="H55" s="82">
        <f>ROUND(G55+G55*$H$2,2)</f>
        <v>0</v>
      </c>
      <c r="I55" s="83">
        <f t="shared" si="24"/>
        <v>0</v>
      </c>
      <c r="J55" s="83">
        <f t="shared" si="25"/>
        <v>0</v>
      </c>
      <c r="K55" s="82">
        <f>ROUND(F55*H55,2)</f>
        <v>0</v>
      </c>
      <c r="L55" s="84"/>
    </row>
    <row r="56" spans="1:16" ht="25.5" x14ac:dyDescent="0.2">
      <c r="A56" s="77" t="s">
        <v>197</v>
      </c>
      <c r="B56" s="78">
        <v>160220</v>
      </c>
      <c r="C56" s="79" t="s">
        <v>33</v>
      </c>
      <c r="D56" s="79" t="s">
        <v>195</v>
      </c>
      <c r="E56" s="80" t="s">
        <v>21</v>
      </c>
      <c r="F56" s="81">
        <v>2.13</v>
      </c>
      <c r="G56" s="82">
        <v>0</v>
      </c>
      <c r="H56" s="82">
        <f>ROUND(G56+G56*$H$2,2)</f>
        <v>0</v>
      </c>
      <c r="I56" s="83">
        <f t="shared" si="24"/>
        <v>0</v>
      </c>
      <c r="J56" s="83">
        <f t="shared" si="25"/>
        <v>0</v>
      </c>
      <c r="K56" s="82">
        <f>ROUND(F56*H56,2)</f>
        <v>0</v>
      </c>
      <c r="L56" s="84"/>
    </row>
    <row r="57" spans="1:16" ht="24" customHeight="1" x14ac:dyDescent="0.2">
      <c r="A57" s="77"/>
      <c r="B57" s="78"/>
      <c r="C57" s="79"/>
      <c r="D57" s="91" t="s">
        <v>200</v>
      </c>
      <c r="E57" s="80"/>
      <c r="F57" s="81"/>
      <c r="G57" s="82"/>
      <c r="H57" s="82"/>
      <c r="I57" s="83">
        <f t="shared" si="24"/>
        <v>0</v>
      </c>
      <c r="J57" s="83">
        <f t="shared" si="25"/>
        <v>0</v>
      </c>
      <c r="K57" s="82"/>
      <c r="L57" s="84"/>
    </row>
    <row r="58" spans="1:16" ht="39" customHeight="1" x14ac:dyDescent="0.2">
      <c r="A58" s="77" t="s">
        <v>205</v>
      </c>
      <c r="B58" s="78" t="s">
        <v>71</v>
      </c>
      <c r="C58" s="79" t="s">
        <v>18</v>
      </c>
      <c r="D58" s="79" t="s">
        <v>72</v>
      </c>
      <c r="E58" s="80" t="s">
        <v>68</v>
      </c>
      <c r="F58" s="81">
        <v>1</v>
      </c>
      <c r="G58" s="82">
        <v>0</v>
      </c>
      <c r="H58" s="82">
        <f>ROUND(G58+G58*$H$2,2)</f>
        <v>0</v>
      </c>
      <c r="I58" s="83">
        <f t="shared" si="24"/>
        <v>0</v>
      </c>
      <c r="J58" s="83">
        <f t="shared" si="25"/>
        <v>0</v>
      </c>
      <c r="K58" s="82">
        <f>ROUND(F58*H58,2)</f>
        <v>0</v>
      </c>
      <c r="L58" s="84"/>
    </row>
    <row r="59" spans="1:16" ht="26.1" customHeight="1" x14ac:dyDescent="0.2">
      <c r="A59" s="77" t="s">
        <v>188</v>
      </c>
      <c r="B59" s="78" t="s">
        <v>69</v>
      </c>
      <c r="C59" s="79" t="s">
        <v>18</v>
      </c>
      <c r="D59" s="79" t="s">
        <v>70</v>
      </c>
      <c r="E59" s="80" t="s">
        <v>68</v>
      </c>
      <c r="F59" s="81">
        <v>1</v>
      </c>
      <c r="G59" s="82">
        <v>0</v>
      </c>
      <c r="H59" s="82">
        <f>ROUND(G59+G59*$H$2,2)</f>
        <v>0</v>
      </c>
      <c r="I59" s="83">
        <f t="shared" si="24"/>
        <v>0</v>
      </c>
      <c r="J59" s="83">
        <f t="shared" si="25"/>
        <v>0</v>
      </c>
      <c r="K59" s="82">
        <f>ROUND(F59*H59,2)</f>
        <v>0</v>
      </c>
      <c r="L59" s="84"/>
    </row>
    <row r="60" spans="1:16" ht="24" customHeight="1" x14ac:dyDescent="0.2">
      <c r="A60" s="77" t="s">
        <v>206</v>
      </c>
      <c r="B60" s="78" t="s">
        <v>202</v>
      </c>
      <c r="C60" s="79" t="s">
        <v>140</v>
      </c>
      <c r="D60" s="79" t="s">
        <v>201</v>
      </c>
      <c r="E60" s="80" t="s">
        <v>157</v>
      </c>
      <c r="F60" s="81">
        <v>1</v>
      </c>
      <c r="G60" s="82">
        <v>0</v>
      </c>
      <c r="H60" s="82">
        <f>ROUND(G60+G60*$H$2,2)</f>
        <v>0</v>
      </c>
      <c r="I60" s="83">
        <f t="shared" si="24"/>
        <v>0</v>
      </c>
      <c r="J60" s="83">
        <f t="shared" si="25"/>
        <v>0</v>
      </c>
      <c r="K60" s="82">
        <f>ROUND(F60*H60,2)</f>
        <v>0</v>
      </c>
      <c r="L60" s="84"/>
    </row>
    <row r="61" spans="1:16" ht="26.1" customHeight="1" x14ac:dyDescent="0.2">
      <c r="A61" s="77" t="s">
        <v>208</v>
      </c>
      <c r="B61" s="78" t="s">
        <v>204</v>
      </c>
      <c r="C61" s="79" t="s">
        <v>140</v>
      </c>
      <c r="D61" s="79" t="s">
        <v>203</v>
      </c>
      <c r="E61" s="80" t="s">
        <v>157</v>
      </c>
      <c r="F61" s="81">
        <v>1</v>
      </c>
      <c r="G61" s="82">
        <v>0</v>
      </c>
      <c r="H61" s="82">
        <f>ROUND(G61+G61*$H$2,2)</f>
        <v>0</v>
      </c>
      <c r="I61" s="83">
        <f t="shared" si="24"/>
        <v>0</v>
      </c>
      <c r="J61" s="83">
        <f t="shared" si="25"/>
        <v>0</v>
      </c>
      <c r="K61" s="82">
        <f>ROUND(F61*H61,2)</f>
        <v>0</v>
      </c>
      <c r="L61" s="84"/>
    </row>
    <row r="62" spans="1:16" ht="26.1" customHeight="1" x14ac:dyDescent="0.2">
      <c r="A62" s="77" t="s">
        <v>207</v>
      </c>
      <c r="B62" s="78">
        <v>90728</v>
      </c>
      <c r="C62" s="79" t="s">
        <v>18</v>
      </c>
      <c r="D62" s="79" t="s">
        <v>199</v>
      </c>
      <c r="E62" s="80" t="s">
        <v>157</v>
      </c>
      <c r="F62" s="81">
        <v>1</v>
      </c>
      <c r="G62" s="82">
        <v>0</v>
      </c>
      <c r="H62" s="82">
        <f>ROUND(G62+G62*$H$2,2)</f>
        <v>0</v>
      </c>
      <c r="I62" s="83">
        <f t="shared" si="24"/>
        <v>0</v>
      </c>
      <c r="J62" s="83">
        <f t="shared" si="25"/>
        <v>0</v>
      </c>
      <c r="K62" s="82">
        <f>ROUND(F62*H62,2)</f>
        <v>0</v>
      </c>
      <c r="L62" s="84"/>
    </row>
    <row r="63" spans="1:16" ht="30" customHeight="1" x14ac:dyDescent="0.2">
      <c r="A63" s="85">
        <v>7</v>
      </c>
      <c r="B63" s="86"/>
      <c r="C63" s="86"/>
      <c r="D63" s="86" t="s">
        <v>74</v>
      </c>
      <c r="E63" s="86"/>
      <c r="F63" s="87"/>
      <c r="G63" s="86"/>
      <c r="H63" s="86"/>
      <c r="I63" s="88">
        <f t="shared" ref="I63:J63" si="26">SUM(I64:I67)</f>
        <v>0</v>
      </c>
      <c r="J63" s="88">
        <f t="shared" si="26"/>
        <v>0</v>
      </c>
      <c r="K63" s="89">
        <f>ROUND(SUM(K64:K67),2)</f>
        <v>0</v>
      </c>
      <c r="L63" s="90" t="e">
        <f>K63/$K$81</f>
        <v>#DIV/0!</v>
      </c>
    </row>
    <row r="64" spans="1:16" ht="51.95" customHeight="1" x14ac:dyDescent="0.2">
      <c r="A64" s="77" t="s">
        <v>75</v>
      </c>
      <c r="B64" s="78" t="s">
        <v>76</v>
      </c>
      <c r="C64" s="79" t="s">
        <v>18</v>
      </c>
      <c r="D64" s="79" t="s">
        <v>77</v>
      </c>
      <c r="E64" s="80" t="s">
        <v>36</v>
      </c>
      <c r="F64" s="81">
        <v>2</v>
      </c>
      <c r="G64" s="82">
        <v>0</v>
      </c>
      <c r="H64" s="82">
        <f>ROUND(G64+G64*$H$2,2)</f>
        <v>0</v>
      </c>
      <c r="I64" s="83">
        <f t="shared" ref="I64:I67" si="27">K64-J64</f>
        <v>0</v>
      </c>
      <c r="J64" s="83">
        <f t="shared" ref="J64:J67" si="28">ROUNDUP(K64*$O$3,2)</f>
        <v>0</v>
      </c>
      <c r="K64" s="82">
        <f>ROUND(F64*H64,2)</f>
        <v>0</v>
      </c>
      <c r="L64" s="84"/>
    </row>
    <row r="65" spans="1:16" ht="39" customHeight="1" x14ac:dyDescent="0.2">
      <c r="A65" s="77" t="s">
        <v>78</v>
      </c>
      <c r="B65" s="78" t="s">
        <v>79</v>
      </c>
      <c r="C65" s="79" t="s">
        <v>18</v>
      </c>
      <c r="D65" s="79" t="s">
        <v>80</v>
      </c>
      <c r="E65" s="80" t="s">
        <v>68</v>
      </c>
      <c r="F65" s="81">
        <v>1.22</v>
      </c>
      <c r="G65" s="82">
        <v>0</v>
      </c>
      <c r="H65" s="82">
        <f>ROUND(G65+G65*$H$2,2)</f>
        <v>0</v>
      </c>
      <c r="I65" s="83">
        <f t="shared" si="27"/>
        <v>0</v>
      </c>
      <c r="J65" s="83">
        <f t="shared" si="28"/>
        <v>0</v>
      </c>
      <c r="K65" s="82">
        <f>ROUND(F65*H65,2)</f>
        <v>0</v>
      </c>
      <c r="L65" s="84"/>
    </row>
    <row r="66" spans="1:16" ht="39" customHeight="1" x14ac:dyDescent="0.2">
      <c r="A66" s="77" t="s">
        <v>210</v>
      </c>
      <c r="B66" s="78">
        <v>98050</v>
      </c>
      <c r="C66" s="79" t="s">
        <v>18</v>
      </c>
      <c r="D66" s="79" t="s">
        <v>212</v>
      </c>
      <c r="E66" s="80" t="s">
        <v>68</v>
      </c>
      <c r="F66" s="81">
        <v>1</v>
      </c>
      <c r="G66" s="82">
        <v>0</v>
      </c>
      <c r="H66" s="82">
        <f>ROUND(G66+G66*$H$2,2)</f>
        <v>0</v>
      </c>
      <c r="I66" s="83">
        <f t="shared" si="27"/>
        <v>0</v>
      </c>
      <c r="J66" s="83">
        <f t="shared" si="28"/>
        <v>0</v>
      </c>
      <c r="K66" s="82">
        <f>ROUND(F66*H66,2)</f>
        <v>0</v>
      </c>
      <c r="L66" s="84"/>
      <c r="P66" s="64" t="s">
        <v>214</v>
      </c>
    </row>
    <row r="67" spans="1:16" ht="39" customHeight="1" x14ac:dyDescent="0.2">
      <c r="A67" s="77" t="s">
        <v>209</v>
      </c>
      <c r="B67" s="78">
        <v>97739</v>
      </c>
      <c r="C67" s="79" t="s">
        <v>18</v>
      </c>
      <c r="D67" s="79" t="s">
        <v>230</v>
      </c>
      <c r="E67" s="80" t="s">
        <v>211</v>
      </c>
      <c r="F67" s="110">
        <v>0.08</v>
      </c>
      <c r="G67" s="82">
        <v>0</v>
      </c>
      <c r="H67" s="82">
        <f>ROUND(G67+G67*$H$2,2)</f>
        <v>0</v>
      </c>
      <c r="I67" s="83">
        <f t="shared" si="27"/>
        <v>0</v>
      </c>
      <c r="J67" s="83">
        <f t="shared" si="28"/>
        <v>0</v>
      </c>
      <c r="K67" s="82">
        <f>ROUND(F67*H67,2)</f>
        <v>0</v>
      </c>
      <c r="L67" s="84"/>
      <c r="P67" s="64" t="s">
        <v>213</v>
      </c>
    </row>
    <row r="68" spans="1:16" ht="30" customHeight="1" x14ac:dyDescent="0.2">
      <c r="A68" s="85">
        <v>8</v>
      </c>
      <c r="B68" s="86"/>
      <c r="C68" s="86"/>
      <c r="D68" s="86" t="s">
        <v>81</v>
      </c>
      <c r="E68" s="86"/>
      <c r="F68" s="87"/>
      <c r="G68" s="86"/>
      <c r="H68" s="86"/>
      <c r="I68" s="88">
        <f t="shared" ref="I68:J68" si="29">SUM(I69:I72)</f>
        <v>0</v>
      </c>
      <c r="J68" s="88">
        <f t="shared" si="29"/>
        <v>0</v>
      </c>
      <c r="K68" s="89">
        <f>SUM(K69:K72)</f>
        <v>0</v>
      </c>
      <c r="L68" s="90" t="e">
        <f>K68/$K$81</f>
        <v>#DIV/0!</v>
      </c>
    </row>
    <row r="69" spans="1:16" ht="39" customHeight="1" x14ac:dyDescent="0.2">
      <c r="A69" s="77" t="s">
        <v>82</v>
      </c>
      <c r="B69" s="78" t="s">
        <v>83</v>
      </c>
      <c r="C69" s="79" t="s">
        <v>18</v>
      </c>
      <c r="D69" s="79" t="s">
        <v>84</v>
      </c>
      <c r="E69" s="80" t="s">
        <v>23</v>
      </c>
      <c r="F69" s="81">
        <v>212.8</v>
      </c>
      <c r="G69" s="82">
        <v>0</v>
      </c>
      <c r="H69" s="82">
        <f>ROUND(G69+G69*$H$2,2)</f>
        <v>0</v>
      </c>
      <c r="I69" s="83">
        <f t="shared" ref="I69:I72" si="30">K69-J69</f>
        <v>0</v>
      </c>
      <c r="J69" s="83">
        <f t="shared" ref="J69:J72" si="31">ROUNDUP(K69*$O$3,2)</f>
        <v>0</v>
      </c>
      <c r="K69" s="82">
        <f>ROUND(F69*H69,2)</f>
        <v>0</v>
      </c>
      <c r="L69" s="84"/>
    </row>
    <row r="70" spans="1:16" ht="39" customHeight="1" x14ac:dyDescent="0.2">
      <c r="A70" s="77" t="s">
        <v>144</v>
      </c>
      <c r="B70" s="78" t="s">
        <v>26</v>
      </c>
      <c r="C70" s="79" t="s">
        <v>18</v>
      </c>
      <c r="D70" s="79" t="s">
        <v>85</v>
      </c>
      <c r="E70" s="80" t="s">
        <v>27</v>
      </c>
      <c r="F70" s="81">
        <v>1936.48</v>
      </c>
      <c r="G70" s="82">
        <v>0</v>
      </c>
      <c r="H70" s="82">
        <f>ROUND(G70+G70*$H$2,2)</f>
        <v>0</v>
      </c>
      <c r="I70" s="83">
        <f t="shared" si="30"/>
        <v>0</v>
      </c>
      <c r="J70" s="83">
        <f t="shared" si="31"/>
        <v>0</v>
      </c>
      <c r="K70" s="82">
        <f>ROUND(F70*H70,2)</f>
        <v>0</v>
      </c>
      <c r="L70" s="84"/>
    </row>
    <row r="71" spans="1:16" ht="51.95" customHeight="1" x14ac:dyDescent="0.2">
      <c r="A71" s="77" t="s">
        <v>145</v>
      </c>
      <c r="B71" s="78" t="s">
        <v>86</v>
      </c>
      <c r="C71" s="79" t="s">
        <v>18</v>
      </c>
      <c r="D71" s="79" t="s">
        <v>87</v>
      </c>
      <c r="E71" s="80" t="s">
        <v>23</v>
      </c>
      <c r="F71" s="81">
        <v>212.8</v>
      </c>
      <c r="G71" s="82">
        <v>0</v>
      </c>
      <c r="H71" s="82">
        <f>ROUND(G71+G71*$H$2,2)</f>
        <v>0</v>
      </c>
      <c r="I71" s="83">
        <f t="shared" si="30"/>
        <v>0</v>
      </c>
      <c r="J71" s="83">
        <f t="shared" si="31"/>
        <v>0</v>
      </c>
      <c r="K71" s="82">
        <f>ROUND(F71*H71,2)</f>
        <v>0</v>
      </c>
      <c r="L71" s="84"/>
    </row>
    <row r="72" spans="1:16" ht="78" customHeight="1" x14ac:dyDescent="0.2">
      <c r="A72" s="77" t="s">
        <v>146</v>
      </c>
      <c r="B72" s="78" t="s">
        <v>88</v>
      </c>
      <c r="C72" s="79" t="s">
        <v>18</v>
      </c>
      <c r="D72" s="79" t="s">
        <v>89</v>
      </c>
      <c r="E72" s="80" t="s">
        <v>23</v>
      </c>
      <c r="F72" s="81">
        <v>3.72</v>
      </c>
      <c r="G72" s="82">
        <v>0</v>
      </c>
      <c r="H72" s="82">
        <f>ROUND(G72+G72*$H$2,2)</f>
        <v>0</v>
      </c>
      <c r="I72" s="83">
        <f t="shared" si="30"/>
        <v>0</v>
      </c>
      <c r="J72" s="83">
        <f t="shared" si="31"/>
        <v>0</v>
      </c>
      <c r="K72" s="82">
        <f>ROUND(F72*H72,2)</f>
        <v>0</v>
      </c>
      <c r="L72" s="84"/>
    </row>
    <row r="73" spans="1:16" ht="30" customHeight="1" x14ac:dyDescent="0.2">
      <c r="A73" s="85">
        <v>9</v>
      </c>
      <c r="B73" s="86"/>
      <c r="C73" s="86"/>
      <c r="D73" s="86" t="str">
        <f>UPPER("Serviços Complementares")</f>
        <v>SERVIÇOS COMPLEMENTARES</v>
      </c>
      <c r="E73" s="86"/>
      <c r="F73" s="87"/>
      <c r="G73" s="86"/>
      <c r="H73" s="86"/>
      <c r="I73" s="88">
        <f t="shared" ref="I73:J73" si="32">SUM(I74:I75)</f>
        <v>0</v>
      </c>
      <c r="J73" s="88">
        <f t="shared" si="32"/>
        <v>0</v>
      </c>
      <c r="K73" s="89">
        <f>SUM(K74:K75)</f>
        <v>0</v>
      </c>
      <c r="L73" s="90" t="e">
        <f>K73/$K$81</f>
        <v>#DIV/0!</v>
      </c>
    </row>
    <row r="74" spans="1:16" ht="55.5" customHeight="1" x14ac:dyDescent="0.2">
      <c r="A74" s="77" t="s">
        <v>91</v>
      </c>
      <c r="B74" s="78" t="s">
        <v>249</v>
      </c>
      <c r="C74" s="79" t="s">
        <v>248</v>
      </c>
      <c r="D74" s="79" t="str">
        <f>UPPER("Produção de vídeo publicitário profissional elaborado por empresa especializada em serviço de design e diagramação de vídeo e publicação, de no mínimo 1 minuto e no máximo 3 minutos de duração.")</f>
        <v>PRODUÇÃO DE VÍDEO PUBLICITÁRIO PROFISSIONAL ELABORADO POR EMPRESA ESPECIALIZADA EM SERVIÇO DE DESIGN E DIAGRAMAÇÃO DE VÍDEO E PUBLICAÇÃO, DE NO MÍNIMO 1 MINUTO E NO MÁXIMO 3 MINUTOS DE DURAÇÃO.</v>
      </c>
      <c r="E74" s="80" t="s">
        <v>36</v>
      </c>
      <c r="F74" s="81">
        <v>1</v>
      </c>
      <c r="G74" s="82">
        <v>0</v>
      </c>
      <c r="H74" s="82">
        <f>ROUND(G74+G74*$H$2,2)</f>
        <v>0</v>
      </c>
      <c r="I74" s="83">
        <f t="shared" ref="I74:I75" si="33">K74-J74</f>
        <v>0</v>
      </c>
      <c r="J74" s="83">
        <f t="shared" ref="J74:J75" si="34">ROUNDUP(K74*$O$3,2)</f>
        <v>0</v>
      </c>
      <c r="K74" s="82">
        <f>ROUND(F74*H74,2)</f>
        <v>0</v>
      </c>
      <c r="L74" s="84"/>
    </row>
    <row r="75" spans="1:16" ht="44.25" customHeight="1" x14ac:dyDescent="0.2">
      <c r="A75" s="92" t="s">
        <v>143</v>
      </c>
      <c r="B75" s="93" t="s">
        <v>250</v>
      </c>
      <c r="C75" s="94" t="s">
        <v>248</v>
      </c>
      <c r="D75" s="94" t="str">
        <f>UPPER("Produção de Press Release profissional elaborado por empresa especializada, de no mínimo 1 e no máximo 2 páginas.")</f>
        <v>PRODUÇÃO DE PRESS RELEASE PROFISSIONAL ELABORADO POR EMPRESA ESPECIALIZADA, DE NO MÍNIMO 1 E NO MÁXIMO 2 PÁGINAS.</v>
      </c>
      <c r="E75" s="80" t="s">
        <v>36</v>
      </c>
      <c r="F75" s="96">
        <v>1</v>
      </c>
      <c r="G75" s="97">
        <v>0</v>
      </c>
      <c r="H75" s="97">
        <f>ROUND(G75+G75*$H$2,2)</f>
        <v>0</v>
      </c>
      <c r="I75" s="98">
        <f t="shared" si="33"/>
        <v>0</v>
      </c>
      <c r="J75" s="98">
        <f t="shared" si="34"/>
        <v>0</v>
      </c>
      <c r="K75" s="97">
        <f>ROUND(F75*H75,2)</f>
        <v>0</v>
      </c>
      <c r="L75" s="99"/>
    </row>
    <row r="76" spans="1:16" ht="30" customHeight="1" x14ac:dyDescent="0.2">
      <c r="A76" s="85">
        <v>10</v>
      </c>
      <c r="B76" s="86"/>
      <c r="C76" s="86"/>
      <c r="D76" s="86" t="s">
        <v>90</v>
      </c>
      <c r="E76" s="86"/>
      <c r="F76" s="87"/>
      <c r="G76" s="86"/>
      <c r="H76" s="86"/>
      <c r="I76" s="88">
        <f t="shared" ref="I76:J76" si="35">SUM(I77:I78)</f>
        <v>0</v>
      </c>
      <c r="J76" s="88">
        <f t="shared" si="35"/>
        <v>0</v>
      </c>
      <c r="K76" s="89">
        <f>SUM(K77:K78)</f>
        <v>0</v>
      </c>
      <c r="L76" s="90" t="e">
        <f>K76/$K$81</f>
        <v>#DIV/0!</v>
      </c>
    </row>
    <row r="77" spans="1:16" ht="24" customHeight="1" x14ac:dyDescent="0.2">
      <c r="A77" s="77" t="s">
        <v>246</v>
      </c>
      <c r="B77" s="78" t="s">
        <v>92</v>
      </c>
      <c r="C77" s="79" t="s">
        <v>18</v>
      </c>
      <c r="D77" s="79" t="s">
        <v>93</v>
      </c>
      <c r="E77" s="80" t="s">
        <v>21</v>
      </c>
      <c r="F77" s="81">
        <v>480</v>
      </c>
      <c r="G77" s="82">
        <v>0</v>
      </c>
      <c r="H77" s="82">
        <f>ROUND(G77+G77*$H$2,2)</f>
        <v>0</v>
      </c>
      <c r="I77" s="83">
        <f t="shared" ref="I77:I78" si="36">K77-J77</f>
        <v>0</v>
      </c>
      <c r="J77" s="83">
        <f t="shared" ref="J77:J78" si="37">ROUNDUP(K77*$O$3,2)</f>
        <v>0</v>
      </c>
      <c r="K77" s="82">
        <f>ROUND(F77*H77,2)</f>
        <v>0</v>
      </c>
      <c r="L77" s="84"/>
    </row>
    <row r="78" spans="1:16" ht="24" customHeight="1" x14ac:dyDescent="0.2">
      <c r="A78" s="92" t="s">
        <v>247</v>
      </c>
      <c r="B78" s="93" t="s">
        <v>94</v>
      </c>
      <c r="C78" s="94" t="s">
        <v>18</v>
      </c>
      <c r="D78" s="94" t="s">
        <v>95</v>
      </c>
      <c r="E78" s="95" t="s">
        <v>21</v>
      </c>
      <c r="F78" s="96">
        <v>50</v>
      </c>
      <c r="G78" s="97">
        <v>0</v>
      </c>
      <c r="H78" s="97">
        <f>ROUND(G78+G78*$H$2,2)</f>
        <v>0</v>
      </c>
      <c r="I78" s="98">
        <f t="shared" si="36"/>
        <v>0</v>
      </c>
      <c r="J78" s="98">
        <f t="shared" si="37"/>
        <v>0</v>
      </c>
      <c r="K78" s="97">
        <f>ROUND(F78*H78,2)</f>
        <v>0</v>
      </c>
      <c r="L78" s="99"/>
    </row>
    <row r="79" spans="1:16" ht="24" customHeight="1" x14ac:dyDescent="0.2">
      <c r="A79" s="100"/>
      <c r="B79" s="101"/>
      <c r="C79" s="100"/>
      <c r="D79" s="100"/>
      <c r="E79" s="102"/>
      <c r="F79" s="103"/>
      <c r="G79" s="104"/>
      <c r="H79" s="104"/>
      <c r="I79" s="104"/>
      <c r="J79" s="104"/>
      <c r="K79" s="104"/>
      <c r="L79" s="105"/>
    </row>
    <row r="80" spans="1:16" ht="24" customHeight="1" x14ac:dyDescent="0.2">
      <c r="A80" s="149"/>
      <c r="B80" s="150"/>
      <c r="C80" s="150"/>
      <c r="D80" s="150"/>
      <c r="E80" s="150"/>
      <c r="F80" s="150"/>
      <c r="G80" s="150"/>
      <c r="H80" s="151"/>
      <c r="I80" s="137" t="s">
        <v>218</v>
      </c>
      <c r="J80" s="141"/>
      <c r="K80" s="137" t="s">
        <v>219</v>
      </c>
      <c r="L80" s="138"/>
    </row>
    <row r="81" spans="1:15" ht="20.25" x14ac:dyDescent="0.2">
      <c r="A81" s="152"/>
      <c r="B81" s="153"/>
      <c r="C81" s="153"/>
      <c r="D81" s="153"/>
      <c r="E81" s="153"/>
      <c r="F81" s="153"/>
      <c r="G81" s="153"/>
      <c r="H81" s="154"/>
      <c r="I81" s="106">
        <f>SUM(I5:I78)/2</f>
        <v>0</v>
      </c>
      <c r="J81" s="106">
        <f>SUM(J5:J78)/2</f>
        <v>0</v>
      </c>
      <c r="K81" s="139">
        <f>SUM(K5:K78)/2</f>
        <v>0</v>
      </c>
      <c r="L81" s="140"/>
    </row>
    <row r="82" spans="1:15" ht="60" customHeight="1" x14ac:dyDescent="0.2">
      <c r="A82" s="155"/>
      <c r="B82" s="156"/>
      <c r="C82" s="156"/>
      <c r="D82" s="156"/>
      <c r="E82" s="156"/>
      <c r="F82" s="156"/>
      <c r="G82" s="156"/>
      <c r="H82" s="157"/>
      <c r="I82" s="107" t="e">
        <f>I81/$K$81</f>
        <v>#DIV/0!</v>
      </c>
      <c r="J82" s="107" t="e">
        <f>J81/$K$81</f>
        <v>#DIV/0!</v>
      </c>
      <c r="K82" s="147" t="e">
        <f>SUM(L5:L78)</f>
        <v>#DIV/0!</v>
      </c>
      <c r="L82" s="148"/>
      <c r="M82" s="108"/>
      <c r="N82" s="108"/>
      <c r="O82" s="109"/>
    </row>
    <row r="83" spans="1:15" x14ac:dyDescent="0.2">
      <c r="A83" s="158" t="s">
        <v>251</v>
      </c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</row>
    <row r="87" spans="1:15" x14ac:dyDescent="0.2">
      <c r="C87" s="111"/>
      <c r="D87" s="111"/>
      <c r="E87" s="111"/>
      <c r="F87" s="111"/>
      <c r="G87" s="112"/>
      <c r="H87" s="113"/>
      <c r="I87" s="112"/>
      <c r="J87" s="114"/>
      <c r="K87" s="114"/>
    </row>
    <row r="88" spans="1:15" x14ac:dyDescent="0.2">
      <c r="C88" s="115"/>
      <c r="D88" s="131"/>
      <c r="E88" s="116"/>
      <c r="F88" s="115"/>
      <c r="G88" s="115"/>
      <c r="H88" s="117"/>
      <c r="I88" s="126"/>
      <c r="J88" s="126"/>
      <c r="K88" s="126"/>
    </row>
    <row r="89" spans="1:15" x14ac:dyDescent="0.2">
      <c r="C89" s="115"/>
      <c r="D89" s="118"/>
      <c r="E89" s="116"/>
      <c r="F89" s="115"/>
      <c r="G89" s="115"/>
      <c r="H89" s="117"/>
      <c r="I89" s="146"/>
      <c r="J89" s="146"/>
      <c r="K89" s="146"/>
    </row>
    <row r="90" spans="1:15" x14ac:dyDescent="0.2">
      <c r="C90" s="115"/>
      <c r="D90" s="119"/>
      <c r="E90" s="116"/>
      <c r="F90" s="115"/>
      <c r="G90" s="115"/>
      <c r="H90" s="117"/>
      <c r="I90" s="145"/>
      <c r="J90" s="145"/>
      <c r="K90" s="145"/>
    </row>
    <row r="91" spans="1:15" x14ac:dyDescent="0.2">
      <c r="C91" s="120"/>
      <c r="D91" s="119"/>
      <c r="E91" s="119"/>
      <c r="F91" s="121"/>
      <c r="G91" s="121"/>
      <c r="H91" s="122"/>
      <c r="I91" s="145"/>
      <c r="J91" s="145"/>
      <c r="K91" s="145"/>
      <c r="L91" s="127"/>
    </row>
    <row r="92" spans="1:15" x14ac:dyDescent="0.2">
      <c r="C92"/>
      <c r="D92"/>
      <c r="E92"/>
      <c r="F92"/>
      <c r="G92"/>
      <c r="H92" s="123"/>
      <c r="I92"/>
      <c r="J92"/>
      <c r="K92" s="124"/>
    </row>
  </sheetData>
  <mergeCells count="14">
    <mergeCell ref="I91:K91"/>
    <mergeCell ref="I89:K89"/>
    <mergeCell ref="I90:K90"/>
    <mergeCell ref="K82:L82"/>
    <mergeCell ref="A80:H82"/>
    <mergeCell ref="A83:L83"/>
    <mergeCell ref="I2:L2"/>
    <mergeCell ref="I1:L1"/>
    <mergeCell ref="K80:L80"/>
    <mergeCell ref="K81:L81"/>
    <mergeCell ref="I80:J80"/>
    <mergeCell ref="A3:L3"/>
    <mergeCell ref="E1:F1"/>
    <mergeCell ref="E2:G2"/>
  </mergeCells>
  <pageMargins left="0.51181102362204722" right="0.51181102362204722" top="0.98425196850393704" bottom="0.98425196850393704" header="0.51181102362204722" footer="0.51181102362204722"/>
  <pageSetup paperSize="9" scale="63" fitToHeight="0" orientation="landscape" r:id="rId1"/>
  <headerFooter>
    <oddHeader>&amp;L &amp;CServiço Autônomo de Água e Esgoto de São Carlos - SP
CNPJ: 45.359.973/0001-50 &amp;R</oddHeader>
    <oddFooter>&amp;L &amp;CAvenida Getúlio Vargas  - Jardim São Paulo - São Carlos / SP
 / rodrigonogueira@saaesaocarlos.com.br 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view="pageBreakPreview" zoomScaleNormal="120" zoomScaleSheetLayoutView="100" workbookViewId="0">
      <selection activeCell="B1" sqref="B1:I1"/>
    </sheetView>
  </sheetViews>
  <sheetFormatPr defaultRowHeight="14.25" x14ac:dyDescent="0.2"/>
  <cols>
    <col min="1" max="1" width="8" customWidth="1"/>
    <col min="2" max="2" width="25.125" customWidth="1"/>
    <col min="3" max="3" width="14.25" customWidth="1"/>
    <col min="4" max="4" width="14.375" customWidth="1"/>
    <col min="5" max="7" width="17.75" customWidth="1"/>
    <col min="8" max="8" width="17.375" customWidth="1"/>
    <col min="9" max="9" width="10.875" customWidth="1"/>
    <col min="10" max="10" width="2.875" customWidth="1"/>
  </cols>
  <sheetData>
    <row r="1" spans="1:11" ht="93" customHeight="1" thickBot="1" x14ac:dyDescent="0.25">
      <c r="A1" s="2"/>
      <c r="B1" s="164" t="s">
        <v>254</v>
      </c>
      <c r="C1" s="165"/>
      <c r="D1" s="165"/>
      <c r="E1" s="165"/>
      <c r="F1" s="165"/>
      <c r="G1" s="165"/>
      <c r="H1" s="165"/>
      <c r="I1" s="165"/>
    </row>
    <row r="2" spans="1:11" ht="21.75" customHeight="1" x14ac:dyDescent="0.2">
      <c r="A2" s="166"/>
      <c r="B2" s="166"/>
      <c r="C2" s="166"/>
      <c r="D2" s="166"/>
      <c r="E2" s="166"/>
      <c r="F2" s="166"/>
      <c r="G2" s="166"/>
      <c r="H2" s="166"/>
      <c r="I2" s="166"/>
    </row>
    <row r="3" spans="1:11" x14ac:dyDescent="0.2">
      <c r="A3" s="167" t="str">
        <f>'Orçamento Sintético'!D2</f>
        <v>RECONSTRUÇÃO DE TRAVESSIA AÉREA DE UM TRECHO DO COLETOR DE ESGOTO DA SERRINHA - TRECHO DA AVENIDA INTEGRAÇÃO ATÉ O COLETOR DE ESGOTO NA MARGEM ESQUERDA DO CÓRREGO DA ÁGUA QUENTE, BAIRRO CIDADE ARACY</v>
      </c>
      <c r="B3" s="167"/>
      <c r="C3" s="167"/>
      <c r="D3" s="167"/>
      <c r="E3" s="167"/>
      <c r="F3" s="167"/>
      <c r="G3" s="167"/>
      <c r="H3" s="168" t="s">
        <v>96</v>
      </c>
      <c r="I3" s="168" t="s">
        <v>97</v>
      </c>
    </row>
    <row r="4" spans="1:11" x14ac:dyDescent="0.2">
      <c r="A4" s="167"/>
      <c r="B4" s="167"/>
      <c r="C4" s="167"/>
      <c r="D4" s="167"/>
      <c r="E4" s="167"/>
      <c r="F4" s="167"/>
      <c r="G4" s="167"/>
      <c r="H4" s="169"/>
      <c r="I4" s="169"/>
    </row>
    <row r="5" spans="1:11" x14ac:dyDescent="0.2">
      <c r="A5" s="167"/>
      <c r="B5" s="167"/>
      <c r="C5" s="167"/>
      <c r="D5" s="167"/>
      <c r="E5" s="167"/>
      <c r="F5" s="167"/>
      <c r="G5" s="167"/>
      <c r="H5" s="132" t="s">
        <v>252</v>
      </c>
      <c r="I5" s="3" t="s">
        <v>98</v>
      </c>
    </row>
    <row r="6" spans="1:11" x14ac:dyDescent="0.2">
      <c r="A6" s="4"/>
      <c r="B6" s="5"/>
      <c r="C6" s="5"/>
      <c r="D6" s="5"/>
      <c r="E6" s="5"/>
      <c r="F6" s="5"/>
      <c r="G6" s="5"/>
      <c r="H6" s="5"/>
      <c r="I6" s="5"/>
    </row>
    <row r="7" spans="1:11" x14ac:dyDescent="0.2">
      <c r="A7" s="159" t="s">
        <v>5</v>
      </c>
      <c r="B7" s="159" t="s">
        <v>8</v>
      </c>
      <c r="C7" s="161" t="s">
        <v>99</v>
      </c>
      <c r="D7" s="161"/>
      <c r="E7" s="161"/>
      <c r="F7" s="161"/>
      <c r="G7" s="161"/>
      <c r="H7" s="159" t="s">
        <v>100</v>
      </c>
      <c r="I7" s="162" t="s">
        <v>101</v>
      </c>
    </row>
    <row r="8" spans="1:11" x14ac:dyDescent="0.2">
      <c r="A8" s="160"/>
      <c r="B8" s="160"/>
      <c r="C8" s="6" t="s">
        <v>102</v>
      </c>
      <c r="D8" s="6" t="s">
        <v>103</v>
      </c>
      <c r="E8" s="6" t="s">
        <v>104</v>
      </c>
      <c r="F8" s="6" t="s">
        <v>142</v>
      </c>
      <c r="G8" s="6" t="s">
        <v>156</v>
      </c>
      <c r="H8" s="160"/>
      <c r="I8" s="163"/>
    </row>
    <row r="9" spans="1:11" x14ac:dyDescent="0.2">
      <c r="A9" s="170">
        <v>1</v>
      </c>
      <c r="B9" s="172" t="str">
        <f>VLOOKUP(A9,'Orçamento Sintético'!A5:L78,4,1)</f>
        <v>SERVIÇOS PRELIMINARES</v>
      </c>
      <c r="C9" s="7" t="e">
        <f>IF(C10="","",C10*$H$9)</f>
        <v>#DIV/0!</v>
      </c>
      <c r="D9" s="7" t="e">
        <f>IF(D10="","",D10*$H$9)</f>
        <v>#DIV/0!</v>
      </c>
      <c r="E9" s="7" t="e">
        <f>IF(E10="","",E10*$H$9)</f>
        <v>#DIV/0!</v>
      </c>
      <c r="F9" s="7" t="e">
        <f>IF(F10="","",F10*$H$9)</f>
        <v>#DIV/0!</v>
      </c>
      <c r="G9" s="7" t="e">
        <f>IF(G10="","",G10*$H$9)</f>
        <v>#DIV/0!</v>
      </c>
      <c r="H9" s="174">
        <f>VLOOKUP(A9,PLANILHA,11,1)</f>
        <v>0</v>
      </c>
      <c r="I9" s="176" t="e">
        <f>H9/$H$30</f>
        <v>#DIV/0!</v>
      </c>
      <c r="K9" s="8"/>
    </row>
    <row r="10" spans="1:11" x14ac:dyDescent="0.2">
      <c r="A10" s="171"/>
      <c r="B10" s="173"/>
      <c r="C10" s="9" t="e">
        <f>('Orçamento Sintético'!K5-4*'Orçamento Sintético'!H6)/'Orçamento Sintético'!K5</f>
        <v>#DIV/0!</v>
      </c>
      <c r="D10" s="9" t="e">
        <f>'Orçamento Sintético'!H6/'Orçamento Sintético'!K5</f>
        <v>#DIV/0!</v>
      </c>
      <c r="E10" s="9" t="e">
        <f>'Orçamento Sintético'!H6/'Orçamento Sintético'!K5</f>
        <v>#DIV/0!</v>
      </c>
      <c r="F10" s="9" t="e">
        <f>'Orçamento Sintético'!H6/'Orçamento Sintético'!K5</f>
        <v>#DIV/0!</v>
      </c>
      <c r="G10" s="9" t="e">
        <f>'Orçamento Sintético'!H6/'Orçamento Sintético'!K5</f>
        <v>#DIV/0!</v>
      </c>
      <c r="H10" s="175"/>
      <c r="I10" s="177"/>
      <c r="K10" s="8" t="e">
        <f>IF(SUM(B10:G10)=100%,"Ok","Revisar percentuais")</f>
        <v>#DIV/0!</v>
      </c>
    </row>
    <row r="11" spans="1:11" x14ac:dyDescent="0.2">
      <c r="A11" s="170">
        <v>2</v>
      </c>
      <c r="B11" s="172" t="str">
        <f>VLOOKUP(A11,PLANILHA,4,1)</f>
        <v>SERVIÇOS TÉCNICOS</v>
      </c>
      <c r="C11" s="7">
        <f>IF(C12="","",C12*$H11)</f>
        <v>0</v>
      </c>
      <c r="D11" s="7">
        <f>IF(D12="","",D12*$H11)</f>
        <v>0</v>
      </c>
      <c r="E11" s="7">
        <f>IF(E12="","",E12*$H11)</f>
        <v>0</v>
      </c>
      <c r="F11" s="7">
        <f>IF(F12="","",F12*$H11)</f>
        <v>0</v>
      </c>
      <c r="G11" s="7">
        <f>IF(G12="","",G12*$H11)</f>
        <v>0</v>
      </c>
      <c r="H11" s="174">
        <f>VLOOKUP(A11,PLANILHA,11,1)</f>
        <v>0</v>
      </c>
      <c r="I11" s="176" t="e">
        <f>H11/$H$30</f>
        <v>#DIV/0!</v>
      </c>
      <c r="K11" s="8"/>
    </row>
    <row r="12" spans="1:11" x14ac:dyDescent="0.2">
      <c r="A12" s="171"/>
      <c r="B12" s="173"/>
      <c r="C12" s="9">
        <v>0.4</v>
      </c>
      <c r="D12" s="9">
        <v>0.15</v>
      </c>
      <c r="E12" s="9">
        <v>0.15</v>
      </c>
      <c r="F12" s="9">
        <v>0.15</v>
      </c>
      <c r="G12" s="9">
        <v>0.15</v>
      </c>
      <c r="H12" s="175"/>
      <c r="I12" s="177"/>
      <c r="K12" s="8" t="str">
        <f>IF(SUM(B12:G12)=100%,"Ok","Revisar percentuais")</f>
        <v>Ok</v>
      </c>
    </row>
    <row r="13" spans="1:11" x14ac:dyDescent="0.2">
      <c r="A13" s="170">
        <v>3</v>
      </c>
      <c r="B13" s="172" t="str">
        <f>VLOOKUP(A13,PLANILHA,4,1)</f>
        <v>FUNDAÇÕES E SUPERESTRUTURA</v>
      </c>
      <c r="C13" s="7" t="str">
        <f>IF(C14="","",C14*$H13)</f>
        <v/>
      </c>
      <c r="D13" s="7">
        <f>IF(D14="","",D14*$H13)</f>
        <v>0</v>
      </c>
      <c r="E13" s="7">
        <f>IF(E14="","",E14*$H13)</f>
        <v>0</v>
      </c>
      <c r="F13" s="7">
        <f>IF(F14="","",F14*$H13)</f>
        <v>0</v>
      </c>
      <c r="G13" s="7">
        <f>IF(G14="","",G14*$H13)</f>
        <v>0</v>
      </c>
      <c r="H13" s="174">
        <f>VLOOKUP(A13,PLANILHA,11,1)</f>
        <v>0</v>
      </c>
      <c r="I13" s="176" t="e">
        <f>H13/$H$30</f>
        <v>#DIV/0!</v>
      </c>
      <c r="K13" s="8"/>
    </row>
    <row r="14" spans="1:11" x14ac:dyDescent="0.2">
      <c r="A14" s="171"/>
      <c r="B14" s="173"/>
      <c r="C14" s="9"/>
      <c r="D14" s="9">
        <v>0.2</v>
      </c>
      <c r="E14" s="9">
        <v>0.4</v>
      </c>
      <c r="F14" s="9">
        <v>0.4</v>
      </c>
      <c r="G14" s="9">
        <v>0</v>
      </c>
      <c r="H14" s="175"/>
      <c r="I14" s="177"/>
      <c r="K14" s="8" t="str">
        <f>IF(SUM(B14:G14)=100%,"Ok","Revisar percentuais")</f>
        <v>Ok</v>
      </c>
    </row>
    <row r="15" spans="1:11" x14ac:dyDescent="0.2">
      <c r="A15" s="170">
        <v>4</v>
      </c>
      <c r="B15" s="172" t="str">
        <f>VLOOKUP(A15,PLANILHA,4,1)</f>
        <v>MURO DE GABIÃO</v>
      </c>
      <c r="C15" s="7" t="str">
        <f>IF(C16="","",C16*$H15)</f>
        <v/>
      </c>
      <c r="D15" s="7">
        <f>IF(D16="","",D16*$H15)</f>
        <v>0</v>
      </c>
      <c r="E15" s="7">
        <f>IF(E16="","",E16*$H15)</f>
        <v>0</v>
      </c>
      <c r="F15" s="7">
        <f>IF(F16="","",F16*$H15)</f>
        <v>0</v>
      </c>
      <c r="G15" s="7">
        <f>IF(G16="","",G16*$H15)</f>
        <v>0</v>
      </c>
      <c r="H15" s="174">
        <f>VLOOKUP(A15,PLANILHA,11,1)</f>
        <v>0</v>
      </c>
      <c r="I15" s="176" t="e">
        <f>H15/$H$30</f>
        <v>#DIV/0!</v>
      </c>
      <c r="K15" s="8"/>
    </row>
    <row r="16" spans="1:11" x14ac:dyDescent="0.2">
      <c r="A16" s="171"/>
      <c r="B16" s="173"/>
      <c r="C16" s="9"/>
      <c r="D16" s="9">
        <v>0.1</v>
      </c>
      <c r="E16" s="9">
        <v>0.5</v>
      </c>
      <c r="F16" s="9">
        <v>0.4</v>
      </c>
      <c r="G16" s="9">
        <v>0</v>
      </c>
      <c r="H16" s="175"/>
      <c r="I16" s="177"/>
      <c r="K16" s="8" t="str">
        <f>IF(SUM(B16:G16)=100%,"Ok","Revisar percentuais")</f>
        <v>Ok</v>
      </c>
    </row>
    <row r="17" spans="1:11" x14ac:dyDescent="0.2">
      <c r="A17" s="170">
        <v>5</v>
      </c>
      <c r="B17" s="172" t="str">
        <f>VLOOKUP(A17,PLANILHA,4,1)</f>
        <v>ESCAVAÇÃO DE VALA</v>
      </c>
      <c r="C17" s="7" t="str">
        <f>IF(C18="","",C18*$H17)</f>
        <v/>
      </c>
      <c r="D17" s="7" t="str">
        <f>IF(D18="","",D18*$H17)</f>
        <v/>
      </c>
      <c r="E17" s="7" t="str">
        <f>IF(E18="","",E18*$H17)</f>
        <v/>
      </c>
      <c r="F17" s="7">
        <f>IF(F18="","",F18*$H17)</f>
        <v>0</v>
      </c>
      <c r="G17" s="7">
        <f>IF(G18="","",G18*$H17)</f>
        <v>0</v>
      </c>
      <c r="H17" s="174">
        <f>VLOOKUP(A17,PLANILHA,11,1)</f>
        <v>0</v>
      </c>
      <c r="I17" s="176" t="e">
        <f>H17/$H$30</f>
        <v>#DIV/0!</v>
      </c>
      <c r="K17" s="8"/>
    </row>
    <row r="18" spans="1:11" x14ac:dyDescent="0.2">
      <c r="A18" s="171"/>
      <c r="B18" s="173"/>
      <c r="C18" s="9"/>
      <c r="D18" s="9"/>
      <c r="E18" s="9"/>
      <c r="F18" s="9">
        <v>0.5</v>
      </c>
      <c r="G18" s="9">
        <v>0.5</v>
      </c>
      <c r="H18" s="175"/>
      <c r="I18" s="177"/>
      <c r="K18" s="8" t="str">
        <f>IF(SUM(B18:G18)=100%,"Ok","Revisar percentuais")</f>
        <v>Ok</v>
      </c>
    </row>
    <row r="19" spans="1:11" x14ac:dyDescent="0.2">
      <c r="A19" s="170">
        <v>6</v>
      </c>
      <c r="B19" s="172" t="str">
        <f>VLOOKUP(A19,PLANILHA,4,1)</f>
        <v>FORNECIMENTO E ASSENTAMENTO DE TUBOS</v>
      </c>
      <c r="C19" s="7" t="str">
        <f>IF(C20="","",C20*$H19)</f>
        <v/>
      </c>
      <c r="D19" s="7" t="str">
        <f>IF(D20="","",D20*$H19)</f>
        <v/>
      </c>
      <c r="E19" s="7" t="str">
        <f>IF(E20="","",E20*$H19)</f>
        <v/>
      </c>
      <c r="F19" s="7">
        <f>IF(F20="","",F20*$H19)</f>
        <v>0</v>
      </c>
      <c r="G19" s="7">
        <f>IF(G20="","",G20*$H19)</f>
        <v>0</v>
      </c>
      <c r="H19" s="174">
        <f>VLOOKUP(A19,PLANILHA,11,1)</f>
        <v>0</v>
      </c>
      <c r="I19" s="176" t="e">
        <f>H19/$H$30</f>
        <v>#DIV/0!</v>
      </c>
      <c r="K19" s="8"/>
    </row>
    <row r="20" spans="1:11" x14ac:dyDescent="0.2">
      <c r="A20" s="171"/>
      <c r="B20" s="173"/>
      <c r="C20" s="9"/>
      <c r="D20" s="9"/>
      <c r="E20" s="9"/>
      <c r="F20" s="9">
        <v>0.4</v>
      </c>
      <c r="G20" s="9">
        <v>0.6</v>
      </c>
      <c r="H20" s="175"/>
      <c r="I20" s="177"/>
      <c r="K20" s="8" t="str">
        <f>IF(SUM(B20:G20)=100%,"Ok","Revisar percentuais")</f>
        <v>Ok</v>
      </c>
    </row>
    <row r="21" spans="1:11" x14ac:dyDescent="0.2">
      <c r="A21" s="170">
        <v>7</v>
      </c>
      <c r="B21" s="172" t="str">
        <f>VLOOKUP(A21,PLANILHA,4,1)</f>
        <v>POÇO DE VISITA</v>
      </c>
      <c r="C21" s="7" t="str">
        <f>IF(C22="","",C22*$H21)</f>
        <v/>
      </c>
      <c r="D21" s="7"/>
      <c r="E21" s="7" t="str">
        <f>IF(E22="","",E22*$H21)</f>
        <v/>
      </c>
      <c r="F21" s="7">
        <f>IF(F22="","",ROUND((F22*$H21),2))</f>
        <v>0</v>
      </c>
      <c r="G21" s="7">
        <f>IF(G22="","",ROUND((G22*$H21),2))-0.01</f>
        <v>-0.01</v>
      </c>
      <c r="H21" s="174">
        <f>VLOOKUP(A21,PLANILHA,11,1)</f>
        <v>0</v>
      </c>
      <c r="I21" s="176" t="e">
        <f>H21/$H$30</f>
        <v>#DIV/0!</v>
      </c>
      <c r="K21" s="8"/>
    </row>
    <row r="22" spans="1:11" x14ac:dyDescent="0.2">
      <c r="A22" s="171"/>
      <c r="B22" s="173"/>
      <c r="C22" s="9"/>
      <c r="D22" s="9"/>
      <c r="E22" s="9"/>
      <c r="F22" s="9">
        <v>0.5</v>
      </c>
      <c r="G22" s="9">
        <v>0.5</v>
      </c>
      <c r="H22" s="175"/>
      <c r="I22" s="177"/>
      <c r="K22" s="8" t="str">
        <f>IF(SUM(B22:G22)=100%,"Ok","Revisar percentuais")</f>
        <v>Ok</v>
      </c>
    </row>
    <row r="23" spans="1:11" x14ac:dyDescent="0.2">
      <c r="A23" s="170">
        <v>8</v>
      </c>
      <c r="B23" s="172" t="str">
        <f>VLOOKUP(A23,PLANILHA,4,1)</f>
        <v>REATERRO DE VALA E ATERRO DE TALUDE</v>
      </c>
      <c r="C23" s="7" t="str">
        <f>IF(C24="","",C24*$H23)</f>
        <v/>
      </c>
      <c r="D23" s="7" t="str">
        <f>IF(D24="","",D24*$H23)</f>
        <v/>
      </c>
      <c r="E23" s="7" t="str">
        <f>IF(E24="","",E24*$H23)</f>
        <v/>
      </c>
      <c r="F23" s="7">
        <f>IF(F24="","",F24*$H23)</f>
        <v>0</v>
      </c>
      <c r="G23" s="7">
        <f>IF(G24="","",G24*$H23)</f>
        <v>0</v>
      </c>
      <c r="H23" s="174">
        <f>VLOOKUP(A23,PLANILHA,11,1)</f>
        <v>0</v>
      </c>
      <c r="I23" s="176" t="e">
        <f>H23/$H$30</f>
        <v>#DIV/0!</v>
      </c>
      <c r="K23" s="8"/>
    </row>
    <row r="24" spans="1:11" x14ac:dyDescent="0.2">
      <c r="A24" s="171"/>
      <c r="B24" s="173"/>
      <c r="C24" s="9"/>
      <c r="D24" s="9"/>
      <c r="E24" s="9"/>
      <c r="F24" s="9">
        <v>0.5</v>
      </c>
      <c r="G24" s="9">
        <v>0.5</v>
      </c>
      <c r="H24" s="175"/>
      <c r="I24" s="177"/>
      <c r="K24" s="8" t="str">
        <f>IF(SUM(B24:G24)=100%,"Ok","Revisar percentuais")</f>
        <v>Ok</v>
      </c>
    </row>
    <row r="25" spans="1:11" x14ac:dyDescent="0.2">
      <c r="A25" s="170">
        <v>9</v>
      </c>
      <c r="B25" s="172" t="str">
        <f>VLOOKUP(A25,PLANILHA,4,1)</f>
        <v>SERVIÇOS COMPLEMENTARES</v>
      </c>
      <c r="C25" s="7" t="str">
        <f>IF(C26="","",C26*$H25)</f>
        <v/>
      </c>
      <c r="D25" s="7" t="str">
        <f>IF(D26="","",D26*$H25)</f>
        <v/>
      </c>
      <c r="E25" s="7" t="str">
        <f>IF(E26="","",E26*$H25)</f>
        <v/>
      </c>
      <c r="F25" s="7" t="str">
        <f>IF(F26="","",F26*$H25)</f>
        <v/>
      </c>
      <c r="G25" s="7">
        <f>IF(G26="","",G26*$H25)</f>
        <v>0</v>
      </c>
      <c r="H25" s="174">
        <f>VLOOKUP(A25,PLANILHA,11,1)</f>
        <v>0</v>
      </c>
      <c r="I25" s="176" t="e">
        <f>H25/$H$30</f>
        <v>#DIV/0!</v>
      </c>
      <c r="K25" s="8"/>
    </row>
    <row r="26" spans="1:11" x14ac:dyDescent="0.2">
      <c r="A26" s="171"/>
      <c r="B26" s="173"/>
      <c r="C26" s="9"/>
      <c r="D26" s="9"/>
      <c r="E26" s="9"/>
      <c r="F26" s="9"/>
      <c r="G26" s="9">
        <v>1</v>
      </c>
      <c r="H26" s="175"/>
      <c r="I26" s="177"/>
      <c r="K26" s="8" t="str">
        <f>IF(SUM(B26:G26)=100%,"Ok","Revisar percentuais")</f>
        <v>Ok</v>
      </c>
    </row>
    <row r="27" spans="1:11" x14ac:dyDescent="0.2">
      <c r="A27" s="170">
        <v>10</v>
      </c>
      <c r="B27" s="172" t="str">
        <f>VLOOKUP(A27,PLANILHA,4,1)</f>
        <v>SERVIÇOS FINAIS</v>
      </c>
      <c r="C27" s="7" t="str">
        <f>IF(C28="","",C28*$H27)</f>
        <v/>
      </c>
      <c r="D27" s="7" t="str">
        <f>IF(D28="","",D28*$H27)</f>
        <v/>
      </c>
      <c r="E27" s="7" t="str">
        <f>IF(E28="","",E28*$H27)</f>
        <v/>
      </c>
      <c r="F27" s="7" t="str">
        <f>IF(F28="","",F28*$H27)</f>
        <v/>
      </c>
      <c r="G27" s="7">
        <f>IF(G28="","",G28*$H27)</f>
        <v>0</v>
      </c>
      <c r="H27" s="174">
        <f>VLOOKUP(A27,PLANILHA,11,1)</f>
        <v>0</v>
      </c>
      <c r="I27" s="176" t="e">
        <f>H27/$H$30</f>
        <v>#DIV/0!</v>
      </c>
      <c r="K27" s="8"/>
    </row>
    <row r="28" spans="1:11" x14ac:dyDescent="0.2">
      <c r="A28" s="171"/>
      <c r="B28" s="173"/>
      <c r="C28" s="9"/>
      <c r="D28" s="9"/>
      <c r="E28" s="9"/>
      <c r="F28" s="9"/>
      <c r="G28" s="9">
        <v>1</v>
      </c>
      <c r="H28" s="175"/>
      <c r="I28" s="177"/>
      <c r="K28" s="8" t="str">
        <f>IF(SUM(B28:G28)=100%,"Ok","Revisar percentuais")</f>
        <v>Ok</v>
      </c>
    </row>
    <row r="29" spans="1:11" x14ac:dyDescent="0.2">
      <c r="A29" s="4"/>
      <c r="B29" s="10"/>
      <c r="C29" s="11"/>
      <c r="D29" s="11"/>
      <c r="E29" s="11"/>
      <c r="F29" s="11"/>
      <c r="G29" s="11"/>
      <c r="H29" s="12"/>
      <c r="I29" s="13"/>
      <c r="K29" s="8"/>
    </row>
    <row r="30" spans="1:11" x14ac:dyDescent="0.2">
      <c r="A30" s="181" t="s">
        <v>105</v>
      </c>
      <c r="B30" s="181"/>
      <c r="C30" s="14" t="e">
        <f>SUM(C9,C11,C13,C15,C17,C19,C21,C23,C27)</f>
        <v>#DIV/0!</v>
      </c>
      <c r="D30" s="14" t="e">
        <f>SUM(D9,D11,D13,D15,D17,D19,D21,D23,D27)</f>
        <v>#DIV/0!</v>
      </c>
      <c r="E30" s="14" t="e">
        <f>SUM(E9,E11,E13,E15,E17,E19,E21,E23,E27)</f>
        <v>#DIV/0!</v>
      </c>
      <c r="F30" s="14" t="e">
        <f>SUM(F9,F11,F13,F15,F17,F19,F21,F23,F27)</f>
        <v>#DIV/0!</v>
      </c>
      <c r="G30" s="14" t="e">
        <f>SUM(G9,G11,G13,G15,G17,G19,G21,G23,G25,G27)</f>
        <v>#DIV/0!</v>
      </c>
      <c r="H30" s="183">
        <f>SUM(H9:H28)</f>
        <v>0</v>
      </c>
      <c r="I30" s="185" t="e">
        <f>SUM(I9:I28)</f>
        <v>#DIV/0!</v>
      </c>
    </row>
    <row r="31" spans="1:11" x14ac:dyDescent="0.2">
      <c r="A31" s="182"/>
      <c r="B31" s="182"/>
      <c r="C31" s="15" t="e">
        <f>C30/$H$30</f>
        <v>#DIV/0!</v>
      </c>
      <c r="D31" s="15" t="e">
        <f>D30/$H$30</f>
        <v>#DIV/0!</v>
      </c>
      <c r="E31" s="15" t="e">
        <f>E30/$H$30</f>
        <v>#DIV/0!</v>
      </c>
      <c r="F31" s="15" t="e">
        <f>F30/$H$30</f>
        <v>#DIV/0!</v>
      </c>
      <c r="G31" s="15" t="e">
        <f>G30/$H$30</f>
        <v>#DIV/0!</v>
      </c>
      <c r="H31" s="184"/>
      <c r="I31" s="182"/>
    </row>
    <row r="32" spans="1:11" x14ac:dyDescent="0.2">
      <c r="A32" s="186" t="s">
        <v>106</v>
      </c>
      <c r="B32" s="186"/>
      <c r="C32" s="16" t="e">
        <f>C30</f>
        <v>#DIV/0!</v>
      </c>
      <c r="D32" s="16" t="e">
        <f t="shared" ref="D32" si="0">C32+D30</f>
        <v>#DIV/0!</v>
      </c>
      <c r="E32" s="16" t="e">
        <f t="shared" ref="E32" si="1">D32+E30</f>
        <v>#DIV/0!</v>
      </c>
      <c r="F32" s="16" t="e">
        <f t="shared" ref="F32" si="2">E32+F30</f>
        <v>#DIV/0!</v>
      </c>
      <c r="G32" s="16" t="e">
        <f t="shared" ref="G32" si="3">F32+G30</f>
        <v>#DIV/0!</v>
      </c>
      <c r="H32" s="188" t="e">
        <f>IF(H30=G32,"","ERRO")</f>
        <v>#DIV/0!</v>
      </c>
      <c r="I32" s="186"/>
    </row>
    <row r="33" spans="1:16" x14ac:dyDescent="0.2">
      <c r="A33" s="187"/>
      <c r="B33" s="187"/>
      <c r="C33" s="17" t="e">
        <f>C32/$H$30</f>
        <v>#DIV/0!</v>
      </c>
      <c r="D33" s="17" t="e">
        <f>D32/$H$30</f>
        <v>#DIV/0!</v>
      </c>
      <c r="E33" s="17" t="e">
        <f>E32/$H$30</f>
        <v>#DIV/0!</v>
      </c>
      <c r="F33" s="17" t="e">
        <f>F32/$H$30</f>
        <v>#DIV/0!</v>
      </c>
      <c r="G33" s="17" t="e">
        <f>G32/$H$30</f>
        <v>#DIV/0!</v>
      </c>
      <c r="H33" s="189"/>
      <c r="I33" s="187"/>
    </row>
    <row r="34" spans="1:16" x14ac:dyDescent="0.2">
      <c r="A34" s="8"/>
      <c r="B34" s="8"/>
      <c r="C34" s="8"/>
      <c r="D34" s="8"/>
      <c r="E34" s="8"/>
      <c r="F34" s="8"/>
      <c r="G34" s="8"/>
      <c r="H34" s="8"/>
      <c r="I34" s="8"/>
    </row>
    <row r="35" spans="1:16" s="63" customFormat="1" x14ac:dyDescent="0.2">
      <c r="A35" s="179" t="str">
        <f>'Orçamento Sintético'!A83:L83</f>
        <v>São Carlos, ..... de ............... de 2025.</v>
      </c>
      <c r="B35" s="179"/>
      <c r="C35" s="179"/>
      <c r="D35" s="179"/>
      <c r="E35" s="179"/>
      <c r="F35" s="179"/>
      <c r="G35" s="179"/>
      <c r="H35" s="179"/>
      <c r="I35" s="179"/>
      <c r="J35" s="126"/>
      <c r="K35" s="126"/>
      <c r="P35" s="64"/>
    </row>
    <row r="36" spans="1:16" s="63" customFormat="1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6"/>
      <c r="K36" s="126"/>
      <c r="P36" s="64"/>
    </row>
    <row r="37" spans="1:16" s="63" customFormat="1" x14ac:dyDescent="0.2">
      <c r="A37" s="125"/>
      <c r="B37" s="125"/>
      <c r="C37" s="125"/>
      <c r="D37" s="125"/>
      <c r="E37" s="125"/>
      <c r="F37" s="125"/>
      <c r="G37" s="125"/>
      <c r="H37" s="125"/>
      <c r="I37" s="125"/>
      <c r="J37" s="126"/>
      <c r="K37" s="126"/>
      <c r="P37" s="64"/>
    </row>
    <row r="38" spans="1:16" s="63" customFormat="1" x14ac:dyDescent="0.2">
      <c r="A38" s="125"/>
      <c r="B38" s="129"/>
      <c r="C38" s="129"/>
      <c r="D38" s="125"/>
      <c r="E38" s="125"/>
      <c r="F38" s="129"/>
      <c r="G38" s="129"/>
      <c r="H38" s="125"/>
      <c r="I38" s="125"/>
      <c r="J38" s="126"/>
      <c r="K38" s="126"/>
      <c r="P38" s="64"/>
    </row>
    <row r="39" spans="1:16" s="63" customFormat="1" x14ac:dyDescent="0.2">
      <c r="B39" s="146"/>
      <c r="C39" s="146"/>
      <c r="E39" s="116"/>
      <c r="F39" s="146"/>
      <c r="G39" s="146"/>
      <c r="H39" s="128"/>
      <c r="P39" s="64"/>
    </row>
    <row r="40" spans="1:16" s="63" customFormat="1" x14ac:dyDescent="0.2">
      <c r="B40" s="178"/>
      <c r="C40" s="178"/>
      <c r="E40" s="116"/>
      <c r="F40" s="145"/>
      <c r="G40" s="145"/>
      <c r="H40" s="127"/>
      <c r="P40" s="64"/>
    </row>
    <row r="41" spans="1:16" s="63" customFormat="1" x14ac:dyDescent="0.2">
      <c r="B41" s="178"/>
      <c r="C41" s="178"/>
      <c r="E41" s="119"/>
      <c r="F41" s="145"/>
      <c r="G41" s="145"/>
      <c r="H41" s="127"/>
      <c r="I41" s="127"/>
      <c r="J41" s="115"/>
      <c r="K41" s="115"/>
      <c r="P41" s="64"/>
    </row>
    <row r="42" spans="1:16" s="63" customFormat="1" x14ac:dyDescent="0.2">
      <c r="C42"/>
      <c r="D42"/>
      <c r="E42"/>
      <c r="F42"/>
      <c r="G42"/>
      <c r="H42" s="123"/>
      <c r="I42"/>
      <c r="J42"/>
      <c r="K42" s="124"/>
      <c r="P42" s="64"/>
    </row>
    <row r="44" spans="1:16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16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16" x14ac:dyDescent="0.2">
      <c r="A46" s="8"/>
      <c r="B46" s="8"/>
      <c r="C46" s="8"/>
      <c r="D46" s="8"/>
      <c r="E46" s="8"/>
      <c r="F46" s="8"/>
      <c r="G46" s="8"/>
      <c r="H46" s="180"/>
      <c r="I46" s="180"/>
    </row>
    <row r="47" spans="1:16" x14ac:dyDescent="0.2">
      <c r="A47" s="8"/>
      <c r="B47" s="8"/>
      <c r="C47" s="8"/>
      <c r="D47" s="8"/>
      <c r="E47" s="8"/>
      <c r="F47" s="8"/>
      <c r="G47" s="8"/>
      <c r="H47" s="8"/>
      <c r="I47" s="8"/>
    </row>
    <row r="48" spans="1:16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">
      <c r="A50" s="8"/>
      <c r="B50" s="18"/>
      <c r="C50" s="8"/>
      <c r="D50" s="8"/>
      <c r="E50" s="8"/>
      <c r="F50" s="8"/>
      <c r="G50" s="8"/>
      <c r="H50" s="18"/>
      <c r="I50" s="19"/>
    </row>
    <row r="51" spans="1:9" x14ac:dyDescent="0.2">
      <c r="A51" s="20"/>
      <c r="B51" s="20"/>
      <c r="C51" s="21"/>
      <c r="D51" s="20"/>
      <c r="E51" s="20"/>
      <c r="F51" s="20"/>
      <c r="G51" s="20"/>
      <c r="H51" s="22"/>
      <c r="I51" s="22"/>
    </row>
  </sheetData>
  <mergeCells count="64">
    <mergeCell ref="B40:C40"/>
    <mergeCell ref="B41:C41"/>
    <mergeCell ref="A35:I35"/>
    <mergeCell ref="H46:I46"/>
    <mergeCell ref="A30:B31"/>
    <mergeCell ref="H30:H31"/>
    <mergeCell ref="I30:I31"/>
    <mergeCell ref="A32:B33"/>
    <mergeCell ref="H32:H33"/>
    <mergeCell ref="I32:I33"/>
    <mergeCell ref="F39:G39"/>
    <mergeCell ref="F40:G40"/>
    <mergeCell ref="F41:G41"/>
    <mergeCell ref="B39:C39"/>
    <mergeCell ref="A27:A28"/>
    <mergeCell ref="B27:B28"/>
    <mergeCell ref="H27:H28"/>
    <mergeCell ref="I27:I28"/>
    <mergeCell ref="A21:A22"/>
    <mergeCell ref="B21:B22"/>
    <mergeCell ref="H21:H22"/>
    <mergeCell ref="I21:I22"/>
    <mergeCell ref="A23:A24"/>
    <mergeCell ref="B23:B24"/>
    <mergeCell ref="H23:H24"/>
    <mergeCell ref="I23:I24"/>
    <mergeCell ref="A25:A26"/>
    <mergeCell ref="B25:B26"/>
    <mergeCell ref="H25:H26"/>
    <mergeCell ref="I25:I26"/>
    <mergeCell ref="A17:A18"/>
    <mergeCell ref="B17:B18"/>
    <mergeCell ref="H17:H18"/>
    <mergeCell ref="I17:I18"/>
    <mergeCell ref="A19:A20"/>
    <mergeCell ref="B19:B20"/>
    <mergeCell ref="H19:H20"/>
    <mergeCell ref="I19:I20"/>
    <mergeCell ref="A13:A14"/>
    <mergeCell ref="B13:B14"/>
    <mergeCell ref="H13:H14"/>
    <mergeCell ref="I13:I14"/>
    <mergeCell ref="A15:A16"/>
    <mergeCell ref="B15:B16"/>
    <mergeCell ref="H15:H16"/>
    <mergeCell ref="I15:I16"/>
    <mergeCell ref="A9:A10"/>
    <mergeCell ref="B9:B10"/>
    <mergeCell ref="H9:H10"/>
    <mergeCell ref="I9:I10"/>
    <mergeCell ref="A11:A12"/>
    <mergeCell ref="B11:B12"/>
    <mergeCell ref="H11:H12"/>
    <mergeCell ref="I11:I12"/>
    <mergeCell ref="B1:I1"/>
    <mergeCell ref="A2:I2"/>
    <mergeCell ref="A3:G5"/>
    <mergeCell ref="H3:H4"/>
    <mergeCell ref="I3:I4"/>
    <mergeCell ref="A7:A8"/>
    <mergeCell ref="B7:B8"/>
    <mergeCell ref="C7:G7"/>
    <mergeCell ref="H7:H8"/>
    <mergeCell ref="I7:I8"/>
  </mergeCells>
  <conditionalFormatting sqref="C9:D9 C11:D11 C13:D13 C15:D15 C17:D17 C19:D19 C21:D21 C23:D23 C27:D27 G27 G23 G21 G19 G17 G15 G13 G11 G9">
    <cfRule type="notContainsBlanks" dxfId="5" priority="6">
      <formula>LEN(TRIM(C9))&gt;0</formula>
    </cfRule>
  </conditionalFormatting>
  <conditionalFormatting sqref="E27 E23 E21 E19 E17 E15 E13 E11 E9">
    <cfRule type="notContainsBlanks" dxfId="4" priority="5">
      <formula>LEN(TRIM(E9))&gt;0</formula>
    </cfRule>
  </conditionalFormatting>
  <conditionalFormatting sqref="F27 F23 F21 F19 F17 F15 F13 F11 F9">
    <cfRule type="notContainsBlanks" dxfId="3" priority="4">
      <formula>LEN(TRIM(F9))&gt;0</formula>
    </cfRule>
  </conditionalFormatting>
  <conditionalFormatting sqref="C25:D25 G25">
    <cfRule type="notContainsBlanks" dxfId="2" priority="3">
      <formula>LEN(TRIM(C25))&gt;0</formula>
    </cfRule>
  </conditionalFormatting>
  <conditionalFormatting sqref="E25">
    <cfRule type="notContainsBlanks" dxfId="1" priority="2">
      <formula>LEN(TRIM(E25))&gt;0</formula>
    </cfRule>
  </conditionalFormatting>
  <conditionalFormatting sqref="F25">
    <cfRule type="notContainsBlanks" dxfId="0" priority="1">
      <formula>LEN(TRIM(F25))&gt;0</formula>
    </cfRule>
  </conditionalFormatting>
  <pageMargins left="0.511811024" right="0.511811024" top="0.78740157499999996" bottom="0.78740157499999996" header="0.31496062000000002" footer="0.31496062000000002"/>
  <pageSetup paperSize="9" scale="8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workbookViewId="0">
      <selection sqref="A1:L7"/>
    </sheetView>
  </sheetViews>
  <sheetFormatPr defaultRowHeight="14.25" x14ac:dyDescent="0.2"/>
  <cols>
    <col min="1" max="1" width="12" customWidth="1"/>
    <col min="2" max="2" width="12.25" customWidth="1"/>
    <col min="3" max="3" width="28.25" customWidth="1"/>
    <col min="4" max="4" width="10.75" customWidth="1"/>
    <col min="6" max="6" width="9.5" customWidth="1"/>
  </cols>
  <sheetData>
    <row r="1" spans="1:12" x14ac:dyDescent="0.2">
      <c r="A1" s="191" t="s">
        <v>253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3"/>
    </row>
    <row r="2" spans="1:12" x14ac:dyDescent="0.2">
      <c r="A2" s="194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6"/>
    </row>
    <row r="3" spans="1:12" x14ac:dyDescent="0.2">
      <c r="A3" s="194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6"/>
    </row>
    <row r="4" spans="1:12" x14ac:dyDescent="0.2">
      <c r="A4" s="194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6"/>
    </row>
    <row r="5" spans="1:12" x14ac:dyDescent="0.2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6"/>
    </row>
    <row r="6" spans="1:12" x14ac:dyDescent="0.2">
      <c r="A6" s="194"/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6"/>
    </row>
    <row r="7" spans="1:12" ht="15" thickBot="1" x14ac:dyDescent="0.25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9"/>
    </row>
    <row r="8" spans="1:12" ht="16.5" thickBot="1" x14ac:dyDescent="0.25">
      <c r="A8" s="200" t="s">
        <v>107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2"/>
    </row>
    <row r="9" spans="1:12" x14ac:dyDescent="0.2">
      <c r="A9" s="23"/>
      <c r="B9" s="203" t="str">
        <f>'Orçamento Sintético'!D2</f>
        <v>RECONSTRUÇÃO DE TRAVESSIA AÉREA DE UM TRECHO DO COLETOR DE ESGOTO DA SERRINHA - TRECHO DA AVENIDA INTEGRAÇÃO ATÉ O COLETOR DE ESGOTO NA MARGEM ESQUERDA DO CÓRREGO DA ÁGUA QUENTE, BAIRRO CIDADE ARACY</v>
      </c>
      <c r="C9" s="203"/>
      <c r="D9" s="203"/>
      <c r="E9" s="203"/>
      <c r="F9" s="203"/>
      <c r="G9" s="203"/>
      <c r="H9" s="203"/>
      <c r="I9" s="203"/>
      <c r="J9" s="203"/>
      <c r="K9" s="203"/>
      <c r="L9" s="24"/>
    </row>
    <row r="10" spans="1:12" x14ac:dyDescent="0.2">
      <c r="A10" s="23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4"/>
    </row>
    <row r="11" spans="1:12" x14ac:dyDescent="0.2">
      <c r="A11" s="23"/>
      <c r="B11" s="25"/>
      <c r="C11" s="190"/>
      <c r="D11" s="190"/>
      <c r="E11" s="190"/>
      <c r="F11" s="190"/>
      <c r="G11" s="190"/>
      <c r="H11" s="190"/>
      <c r="I11" s="190"/>
      <c r="J11" s="190"/>
      <c r="K11" s="26"/>
      <c r="L11" s="24"/>
    </row>
    <row r="12" spans="1:12" x14ac:dyDescent="0.2">
      <c r="A12" s="23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24"/>
    </row>
    <row r="13" spans="1:12" x14ac:dyDescent="0.2">
      <c r="A13" s="23"/>
      <c r="B13" s="26"/>
      <c r="C13" s="27" t="s">
        <v>108</v>
      </c>
      <c r="D13" s="190"/>
      <c r="E13" s="190"/>
      <c r="F13" s="190"/>
      <c r="G13" s="190"/>
      <c r="H13" s="190"/>
      <c r="I13" s="190"/>
      <c r="J13" s="190"/>
      <c r="K13" s="190"/>
      <c r="L13" s="24"/>
    </row>
    <row r="14" spans="1:12" ht="15" thickBot="1" x14ac:dyDescent="0.25">
      <c r="A14" s="23"/>
      <c r="B14" s="28"/>
      <c r="C14" s="28"/>
      <c r="D14" s="28"/>
      <c r="E14" s="28"/>
      <c r="F14" s="28"/>
      <c r="G14" s="28"/>
      <c r="H14" s="29" t="s">
        <v>109</v>
      </c>
      <c r="I14" s="29" t="s">
        <v>110</v>
      </c>
      <c r="J14" s="29" t="s">
        <v>111</v>
      </c>
      <c r="K14" s="28"/>
      <c r="L14" s="24"/>
    </row>
    <row r="15" spans="1:12" ht="15" thickBot="1" x14ac:dyDescent="0.25">
      <c r="A15" s="23"/>
      <c r="B15" s="30" t="s">
        <v>112</v>
      </c>
      <c r="C15" s="31" t="s">
        <v>113</v>
      </c>
      <c r="D15" s="32"/>
      <c r="E15" s="33">
        <v>0</v>
      </c>
      <c r="F15" s="34" t="s">
        <v>101</v>
      </c>
      <c r="G15" s="35"/>
      <c r="H15" s="36">
        <v>3.4299999999999997E-2</v>
      </c>
      <c r="I15" s="36">
        <v>4.9299999999999997E-2</v>
      </c>
      <c r="J15" s="36">
        <v>6.7100000000000007E-2</v>
      </c>
      <c r="K15" s="28"/>
      <c r="L15" s="24"/>
    </row>
    <row r="16" spans="1:12" ht="15" thickBot="1" x14ac:dyDescent="0.25">
      <c r="A16" s="23"/>
      <c r="B16" s="26"/>
      <c r="C16" s="206"/>
      <c r="D16" s="206"/>
      <c r="E16" s="26"/>
      <c r="F16" s="190"/>
      <c r="G16" s="190"/>
      <c r="H16" s="190"/>
      <c r="I16" s="190"/>
      <c r="J16" s="190"/>
      <c r="K16" s="190"/>
      <c r="L16" s="24"/>
    </row>
    <row r="17" spans="1:12" ht="15" thickBot="1" x14ac:dyDescent="0.25">
      <c r="A17" s="23"/>
      <c r="B17" s="30" t="s">
        <v>114</v>
      </c>
      <c r="C17" s="31" t="s">
        <v>115</v>
      </c>
      <c r="D17" s="32"/>
      <c r="E17" s="33">
        <v>0</v>
      </c>
      <c r="F17" s="34" t="s">
        <v>101</v>
      </c>
      <c r="G17" s="35"/>
      <c r="H17" s="36">
        <v>9.4000000000000004E-3</v>
      </c>
      <c r="I17" s="36">
        <v>9.9000000000000008E-3</v>
      </c>
      <c r="J17" s="36">
        <v>1.17E-2</v>
      </c>
      <c r="K17" s="28"/>
      <c r="L17" s="24"/>
    </row>
    <row r="18" spans="1:12" ht="15" thickBot="1" x14ac:dyDescent="0.25">
      <c r="A18" s="23"/>
      <c r="B18" s="26"/>
      <c r="C18" s="206"/>
      <c r="D18" s="206"/>
      <c r="E18" s="26"/>
      <c r="F18" s="190"/>
      <c r="G18" s="190"/>
      <c r="H18" s="190"/>
      <c r="I18" s="190"/>
      <c r="J18" s="190"/>
      <c r="K18" s="190"/>
      <c r="L18" s="24"/>
    </row>
    <row r="19" spans="1:12" ht="15" thickBot="1" x14ac:dyDescent="0.25">
      <c r="A19" s="23"/>
      <c r="B19" s="30" t="s">
        <v>116</v>
      </c>
      <c r="C19" s="31" t="s">
        <v>117</v>
      </c>
      <c r="D19" s="32"/>
      <c r="E19" s="33">
        <v>0</v>
      </c>
      <c r="F19" s="34" t="s">
        <v>101</v>
      </c>
      <c r="G19" s="35"/>
      <c r="H19" s="36">
        <v>2.8E-3</v>
      </c>
      <c r="I19" s="36">
        <v>4.8999999999999998E-3</v>
      </c>
      <c r="J19" s="36">
        <v>7.4999999999999997E-3</v>
      </c>
      <c r="K19" s="28"/>
      <c r="L19" s="24"/>
    </row>
    <row r="20" spans="1:12" ht="15" thickBot="1" x14ac:dyDescent="0.25">
      <c r="A20" s="23"/>
      <c r="B20" s="26"/>
      <c r="C20" s="206"/>
      <c r="D20" s="206"/>
      <c r="E20" s="26"/>
      <c r="F20" s="190"/>
      <c r="G20" s="190"/>
      <c r="H20" s="190"/>
      <c r="I20" s="190"/>
      <c r="J20" s="190"/>
      <c r="K20" s="190"/>
      <c r="L20" s="24"/>
    </row>
    <row r="21" spans="1:12" ht="15" thickBot="1" x14ac:dyDescent="0.25">
      <c r="A21" s="23"/>
      <c r="B21" s="30" t="s">
        <v>118</v>
      </c>
      <c r="C21" s="31" t="s">
        <v>119</v>
      </c>
      <c r="D21" s="32"/>
      <c r="E21" s="33">
        <v>0</v>
      </c>
      <c r="F21" s="34" t="s">
        <v>101</v>
      </c>
      <c r="G21" s="35"/>
      <c r="H21" s="36">
        <v>0.01</v>
      </c>
      <c r="I21" s="36">
        <v>1.3899999999999999E-2</v>
      </c>
      <c r="J21" s="36">
        <v>1.7399999999999999E-2</v>
      </c>
      <c r="K21" s="28"/>
      <c r="L21" s="24"/>
    </row>
    <row r="22" spans="1:12" ht="15" thickBot="1" x14ac:dyDescent="0.25">
      <c r="A22" s="23"/>
      <c r="B22" s="26"/>
      <c r="C22" s="206"/>
      <c r="D22" s="206"/>
      <c r="E22" s="26"/>
      <c r="F22" s="190"/>
      <c r="G22" s="190"/>
      <c r="H22" s="190"/>
      <c r="I22" s="190"/>
      <c r="J22" s="190"/>
      <c r="K22" s="190"/>
      <c r="L22" s="24"/>
    </row>
    <row r="23" spans="1:12" x14ac:dyDescent="0.2">
      <c r="A23" s="23"/>
      <c r="B23" s="26"/>
      <c r="C23" s="37" t="s">
        <v>120</v>
      </c>
      <c r="D23" s="38"/>
      <c r="E23" s="39">
        <v>0</v>
      </c>
      <c r="F23" s="40" t="s">
        <v>101</v>
      </c>
      <c r="G23" s="205"/>
      <c r="H23" s="190"/>
      <c r="I23" s="190"/>
      <c r="J23" s="190"/>
      <c r="K23" s="190"/>
      <c r="L23" s="24"/>
    </row>
    <row r="24" spans="1:12" x14ac:dyDescent="0.2">
      <c r="A24" s="23"/>
      <c r="B24" s="30" t="s">
        <v>121</v>
      </c>
      <c r="C24" s="41" t="s">
        <v>122</v>
      </c>
      <c r="D24" s="26"/>
      <c r="E24" s="42">
        <v>0</v>
      </c>
      <c r="F24" s="24" t="s">
        <v>101</v>
      </c>
      <c r="G24" s="205"/>
      <c r="H24" s="190"/>
      <c r="I24" s="190"/>
      <c r="J24" s="190"/>
      <c r="K24" s="190"/>
      <c r="L24" s="24"/>
    </row>
    <row r="25" spans="1:12" x14ac:dyDescent="0.2">
      <c r="A25" s="23"/>
      <c r="B25" s="26"/>
      <c r="C25" s="41" t="s">
        <v>123</v>
      </c>
      <c r="D25" s="26"/>
      <c r="E25" s="42">
        <v>0</v>
      </c>
      <c r="F25" s="24" t="s">
        <v>101</v>
      </c>
      <c r="G25" s="205"/>
      <c r="H25" s="190"/>
      <c r="I25" s="190"/>
      <c r="J25" s="190"/>
      <c r="K25" s="190"/>
      <c r="L25" s="24"/>
    </row>
    <row r="26" spans="1:12" ht="15" thickBot="1" x14ac:dyDescent="0.25">
      <c r="A26" s="23"/>
      <c r="B26" s="26"/>
      <c r="C26" s="41" t="s">
        <v>124</v>
      </c>
      <c r="D26" s="26"/>
      <c r="E26" s="42">
        <v>0</v>
      </c>
      <c r="F26" s="24" t="s">
        <v>101</v>
      </c>
      <c r="G26" s="205"/>
      <c r="H26" s="190"/>
      <c r="I26" s="190"/>
      <c r="J26" s="190"/>
      <c r="K26" s="190"/>
      <c r="L26" s="24"/>
    </row>
    <row r="27" spans="1:12" ht="15" thickBot="1" x14ac:dyDescent="0.25">
      <c r="A27" s="23"/>
      <c r="B27" s="26"/>
      <c r="C27" s="43" t="s">
        <v>125</v>
      </c>
      <c r="D27" s="44"/>
      <c r="E27" s="33">
        <f>SUM(E23:E26)</f>
        <v>0</v>
      </c>
      <c r="F27" s="34" t="s">
        <v>101</v>
      </c>
      <c r="G27" s="205"/>
      <c r="H27" s="190"/>
      <c r="I27" s="190"/>
      <c r="J27" s="190"/>
      <c r="K27" s="190"/>
      <c r="L27" s="24"/>
    </row>
    <row r="28" spans="1:12" ht="15" thickBot="1" x14ac:dyDescent="0.25">
      <c r="A28" s="23"/>
      <c r="B28" s="26"/>
      <c r="C28" s="206"/>
      <c r="D28" s="206"/>
      <c r="E28" s="26"/>
      <c r="F28" s="190"/>
      <c r="G28" s="190"/>
      <c r="H28" s="190"/>
      <c r="I28" s="190"/>
      <c r="J28" s="190"/>
      <c r="K28" s="190"/>
      <c r="L28" s="24"/>
    </row>
    <row r="29" spans="1:12" ht="15" thickBot="1" x14ac:dyDescent="0.25">
      <c r="A29" s="23"/>
      <c r="B29" s="30" t="s">
        <v>126</v>
      </c>
      <c r="C29" s="31" t="s">
        <v>127</v>
      </c>
      <c r="D29" s="32"/>
      <c r="E29" s="33">
        <v>0</v>
      </c>
      <c r="F29" s="34" t="s">
        <v>101</v>
      </c>
      <c r="G29" s="35"/>
      <c r="H29" s="36">
        <v>6.7400000000000002E-2</v>
      </c>
      <c r="I29" s="36">
        <v>8.0399999999999999E-2</v>
      </c>
      <c r="J29" s="36">
        <v>9.4E-2</v>
      </c>
      <c r="K29" s="28"/>
      <c r="L29" s="24"/>
    </row>
    <row r="30" spans="1:12" x14ac:dyDescent="0.2">
      <c r="A30" s="23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24"/>
    </row>
    <row r="31" spans="1:12" x14ac:dyDescent="0.2">
      <c r="A31" s="23"/>
      <c r="B31" s="190"/>
      <c r="C31" s="190"/>
      <c r="D31" s="26"/>
      <c r="E31" s="190"/>
      <c r="F31" s="190"/>
      <c r="G31" s="190"/>
      <c r="H31" s="190"/>
      <c r="I31" s="190"/>
      <c r="J31" s="190"/>
      <c r="K31" s="190"/>
      <c r="L31" s="24"/>
    </row>
    <row r="32" spans="1:12" ht="15" thickBot="1" x14ac:dyDescent="0.25">
      <c r="A32" s="23"/>
      <c r="B32" s="207" t="s">
        <v>128</v>
      </c>
      <c r="C32" s="207"/>
      <c r="D32" s="190"/>
      <c r="E32" s="190"/>
      <c r="F32" s="190"/>
      <c r="G32" s="190"/>
      <c r="H32" s="190"/>
      <c r="I32" s="190"/>
      <c r="J32" s="190"/>
      <c r="K32" s="190"/>
      <c r="L32" s="24"/>
    </row>
    <row r="33" spans="1:12" x14ac:dyDescent="0.2">
      <c r="A33" s="23"/>
      <c r="B33" s="45"/>
      <c r="C33" s="46"/>
      <c r="D33" s="46"/>
      <c r="E33" s="46"/>
      <c r="F33" s="46"/>
      <c r="G33" s="46"/>
      <c r="H33" s="46"/>
      <c r="I33" s="40"/>
      <c r="J33" s="205"/>
      <c r="K33" s="190"/>
      <c r="L33" s="24"/>
    </row>
    <row r="34" spans="1:12" ht="18.75" x14ac:dyDescent="0.2">
      <c r="A34" s="23"/>
      <c r="B34" s="47" t="s">
        <v>129</v>
      </c>
      <c r="C34" s="48" t="s">
        <v>130</v>
      </c>
      <c r="D34" s="49" t="s">
        <v>131</v>
      </c>
      <c r="E34" s="50">
        <v>1</v>
      </c>
      <c r="F34" s="26"/>
      <c r="G34" s="30" t="s">
        <v>132</v>
      </c>
      <c r="H34" s="50">
        <v>100</v>
      </c>
      <c r="I34" s="24"/>
      <c r="J34" s="205"/>
      <c r="K34" s="190"/>
      <c r="L34" s="24"/>
    </row>
    <row r="35" spans="1:12" x14ac:dyDescent="0.2">
      <c r="A35" s="23"/>
      <c r="B35" s="23"/>
      <c r="C35" s="50" t="s">
        <v>133</v>
      </c>
      <c r="D35" s="26"/>
      <c r="E35" s="190"/>
      <c r="F35" s="190"/>
      <c r="G35" s="190"/>
      <c r="H35" s="190"/>
      <c r="I35" s="24"/>
      <c r="J35" s="205"/>
      <c r="K35" s="190"/>
      <c r="L35" s="24"/>
    </row>
    <row r="36" spans="1:12" ht="15" thickBot="1" x14ac:dyDescent="0.25">
      <c r="A36" s="23"/>
      <c r="B36" s="51"/>
      <c r="C36" s="52"/>
      <c r="D36" s="52"/>
      <c r="E36" s="52"/>
      <c r="F36" s="52"/>
      <c r="G36" s="52"/>
      <c r="H36" s="52"/>
      <c r="I36" s="53"/>
      <c r="J36" s="205"/>
      <c r="K36" s="190"/>
      <c r="L36" s="24"/>
    </row>
    <row r="37" spans="1:12" x14ac:dyDescent="0.2">
      <c r="A37" s="23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24"/>
    </row>
    <row r="38" spans="1:12" x14ac:dyDescent="0.2">
      <c r="A38" s="23"/>
      <c r="B38" s="208" t="s">
        <v>134</v>
      </c>
      <c r="C38" s="208"/>
      <c r="D38" s="190"/>
      <c r="E38" s="190"/>
      <c r="F38" s="190"/>
      <c r="G38" s="190"/>
      <c r="H38" s="190"/>
      <c r="I38" s="190"/>
      <c r="J38" s="190"/>
      <c r="K38" s="190"/>
      <c r="L38" s="24"/>
    </row>
    <row r="39" spans="1:12" x14ac:dyDescent="0.2">
      <c r="A39" s="23"/>
      <c r="B39" s="28"/>
      <c r="C39" s="190"/>
      <c r="D39" s="190"/>
      <c r="E39" s="190"/>
      <c r="F39" s="28"/>
      <c r="G39" s="190"/>
      <c r="H39" s="190"/>
      <c r="I39" s="190"/>
      <c r="J39" s="190"/>
      <c r="K39" s="190"/>
      <c r="L39" s="24"/>
    </row>
    <row r="40" spans="1:12" ht="18.75" x14ac:dyDescent="0.2">
      <c r="A40" s="23"/>
      <c r="B40" s="27" t="s">
        <v>135</v>
      </c>
      <c r="C40" s="54">
        <f>(1+(E15/100)+(E19/100)+(E21/100))*(1+(E17/100))*(1+(E29/100))</f>
        <v>1</v>
      </c>
      <c r="D40" s="49" t="s">
        <v>131</v>
      </c>
      <c r="E40" s="50">
        <v>1</v>
      </c>
      <c r="F40" s="26"/>
      <c r="G40" s="30" t="s">
        <v>132</v>
      </c>
      <c r="H40" s="50">
        <v>100</v>
      </c>
      <c r="I40" s="30" t="s">
        <v>136</v>
      </c>
      <c r="J40" s="55">
        <f>((C40/C41)-E40)*100</f>
        <v>0</v>
      </c>
      <c r="K40" s="27" t="s">
        <v>101</v>
      </c>
      <c r="L40" s="24"/>
    </row>
    <row r="41" spans="1:12" x14ac:dyDescent="0.2">
      <c r="A41" s="23"/>
      <c r="B41" s="26"/>
      <c r="C41" s="50">
        <f>(1-(E27/100))</f>
        <v>1</v>
      </c>
      <c r="D41" s="26"/>
      <c r="E41" s="190"/>
      <c r="F41" s="190"/>
      <c r="G41" s="190"/>
      <c r="H41" s="190"/>
      <c r="I41" s="190"/>
      <c r="J41" s="190"/>
      <c r="K41" s="190"/>
      <c r="L41" s="24"/>
    </row>
    <row r="42" spans="1:12" x14ac:dyDescent="0.2">
      <c r="A42" s="23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24"/>
    </row>
    <row r="43" spans="1:12" x14ac:dyDescent="0.2">
      <c r="A43" s="23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24"/>
    </row>
    <row r="44" spans="1:12" ht="15.75" x14ac:dyDescent="0.2">
      <c r="A44" s="23"/>
      <c r="B44" s="26"/>
      <c r="C44" s="56" t="s">
        <v>137</v>
      </c>
      <c r="D44" s="26"/>
      <c r="E44" s="57">
        <f>J40</f>
        <v>0</v>
      </c>
      <c r="F44" s="210" t="s">
        <v>101</v>
      </c>
      <c r="G44" s="210"/>
      <c r="H44" s="26"/>
      <c r="I44" s="190"/>
      <c r="J44" s="190"/>
      <c r="K44" s="190"/>
      <c r="L44" s="24"/>
    </row>
    <row r="45" spans="1:12" x14ac:dyDescent="0.2">
      <c r="A45" s="23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24"/>
    </row>
    <row r="46" spans="1:12" x14ac:dyDescent="0.2">
      <c r="A46" s="23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24"/>
    </row>
    <row r="47" spans="1:12" x14ac:dyDescent="0.2">
      <c r="A47" s="23"/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24"/>
    </row>
    <row r="48" spans="1:12" x14ac:dyDescent="0.2">
      <c r="A48" s="23"/>
      <c r="B48" s="209" t="s">
        <v>138</v>
      </c>
      <c r="C48" s="209"/>
      <c r="D48" s="209"/>
      <c r="E48" s="209"/>
      <c r="F48" s="209"/>
      <c r="G48" s="209"/>
      <c r="H48" s="209"/>
      <c r="I48" s="209"/>
      <c r="J48" s="209"/>
      <c r="K48" s="26"/>
      <c r="L48" s="24"/>
    </row>
    <row r="49" spans="1:12" ht="15" thickBot="1" x14ac:dyDescent="0.25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3"/>
    </row>
  </sheetData>
  <mergeCells count="45">
    <mergeCell ref="B46:K46"/>
    <mergeCell ref="B47:K47"/>
    <mergeCell ref="B48:J48"/>
    <mergeCell ref="E41:K41"/>
    <mergeCell ref="B42:K42"/>
    <mergeCell ref="B43:K43"/>
    <mergeCell ref="F44:G44"/>
    <mergeCell ref="I44:K44"/>
    <mergeCell ref="B45:K45"/>
    <mergeCell ref="J36:K36"/>
    <mergeCell ref="B37:K37"/>
    <mergeCell ref="B38:C38"/>
    <mergeCell ref="D38:K38"/>
    <mergeCell ref="C39:E39"/>
    <mergeCell ref="G39:K39"/>
    <mergeCell ref="B32:C32"/>
    <mergeCell ref="D32:K32"/>
    <mergeCell ref="J33:K33"/>
    <mergeCell ref="J34:K34"/>
    <mergeCell ref="E35:H35"/>
    <mergeCell ref="J35:K35"/>
    <mergeCell ref="G27:K27"/>
    <mergeCell ref="C28:D28"/>
    <mergeCell ref="F28:K28"/>
    <mergeCell ref="B30:K30"/>
    <mergeCell ref="B31:C31"/>
    <mergeCell ref="E31:K31"/>
    <mergeCell ref="G26:K26"/>
    <mergeCell ref="C16:D16"/>
    <mergeCell ref="F16:K16"/>
    <mergeCell ref="C18:D18"/>
    <mergeCell ref="F18:K18"/>
    <mergeCell ref="C20:D20"/>
    <mergeCell ref="F20:K20"/>
    <mergeCell ref="C22:D22"/>
    <mergeCell ref="F22:K22"/>
    <mergeCell ref="G23:K23"/>
    <mergeCell ref="G24:K24"/>
    <mergeCell ref="G25:K25"/>
    <mergeCell ref="D13:K13"/>
    <mergeCell ref="A1:L7"/>
    <mergeCell ref="A8:L8"/>
    <mergeCell ref="B9:K10"/>
    <mergeCell ref="C11:J11"/>
    <mergeCell ref="B12:K12"/>
  </mergeCells>
  <pageMargins left="0.511811024" right="0.511811024" top="0.78740157499999996" bottom="0.78740157499999996" header="0.31496062000000002" footer="0.31496062000000002"/>
  <pageSetup paperSize="9" scale="6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Orçamento Sintético</vt:lpstr>
      <vt:lpstr>cronograma</vt:lpstr>
      <vt:lpstr>BDI</vt:lpstr>
      <vt:lpstr>cronograma!Area_de_impressao</vt:lpstr>
      <vt:lpstr>'Orçamento Sintético'!Area_de_impressao</vt:lpstr>
      <vt:lpstr>PLANILHA</vt:lpstr>
      <vt:lpstr>'Orçamento Sintético'!Titulos_de_impressao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licitacao002</cp:lastModifiedBy>
  <cp:revision>0</cp:revision>
  <cp:lastPrinted>2025-09-23T18:28:46Z</cp:lastPrinted>
  <dcterms:created xsi:type="dcterms:W3CDTF">2024-06-10T11:42:28Z</dcterms:created>
  <dcterms:modified xsi:type="dcterms:W3CDTF">2025-09-23T18:29:02Z</dcterms:modified>
</cp:coreProperties>
</file>